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C:\Users\Felix\Desktop\"/>
    </mc:Choice>
  </mc:AlternateContent>
  <xr:revisionPtr revIDLastSave="0" documentId="8_{14192E79-338F-2F4D-983F-0F92E0CBE38B}" xr6:coauthVersionLast="43" xr6:coauthVersionMax="43" xr10:uidLastSave="{00000000-0000-0000-0000-000000000000}"/>
  <bookViews>
    <workbookView xWindow="0" yWindow="0" windowWidth="20490" windowHeight="7620" activeTab="6" xr2:uid="{00000000-000D-0000-FFFF-FFFF00000000}"/>
  </bookViews>
  <sheets>
    <sheet name="IS" sheetId="1" r:id="rId1"/>
    <sheet name="BS" sheetId="2" r:id="rId2"/>
    <sheet name="CF" sheetId="3" r:id="rId3"/>
    <sheet name="WACC" sheetId="4" r:id="rId4"/>
    <sheet name="Ke" sheetId="5" r:id="rId5"/>
    <sheet name="Kd" sheetId="9" r:id="rId6"/>
    <sheet name="DCF" sheetId="6" r:id="rId7"/>
    <sheet name="Assumptions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3" i="6" l="1"/>
  <c r="F20" i="6"/>
  <c r="E9" i="6"/>
  <c r="F9" i="6"/>
  <c r="G9" i="6"/>
  <c r="H9" i="6"/>
  <c r="H8" i="6"/>
  <c r="G8" i="6"/>
  <c r="F8" i="6"/>
  <c r="E8" i="6"/>
  <c r="D8" i="6"/>
  <c r="E5" i="9"/>
  <c r="D5" i="9"/>
  <c r="C5" i="9"/>
  <c r="C4" i="9"/>
  <c r="C6" i="9"/>
  <c r="E4" i="9"/>
  <c r="D4" i="9"/>
  <c r="C6" i="5"/>
  <c r="B8" i="5"/>
  <c r="F12" i="4"/>
  <c r="G12" i="4"/>
  <c r="C37" i="2"/>
  <c r="D37" i="2"/>
  <c r="E37" i="2"/>
  <c r="F14" i="4"/>
  <c r="E20" i="3"/>
  <c r="D20" i="3"/>
  <c r="C20" i="3"/>
  <c r="E15" i="3"/>
  <c r="D15" i="3"/>
  <c r="C15" i="3"/>
  <c r="E24" i="2"/>
  <c r="E30" i="2"/>
  <c r="E38" i="2"/>
  <c r="D24" i="2"/>
  <c r="D30" i="2"/>
  <c r="D38" i="2"/>
  <c r="F24" i="6"/>
  <c r="C24" i="2"/>
  <c r="C30" i="2"/>
  <c r="C38" i="2"/>
  <c r="C11" i="2"/>
  <c r="C19" i="2"/>
  <c r="E11" i="2"/>
  <c r="E19" i="2"/>
  <c r="D11" i="2"/>
  <c r="D19" i="2"/>
  <c r="O7" i="1"/>
  <c r="N7" i="1"/>
  <c r="E7" i="1"/>
  <c r="E13" i="1"/>
  <c r="E15" i="1"/>
  <c r="E17" i="1"/>
  <c r="D7" i="1"/>
  <c r="D13" i="1"/>
  <c r="D15" i="1"/>
  <c r="D17" i="1"/>
  <c r="C7" i="1"/>
  <c r="C13" i="1"/>
  <c r="C15" i="1"/>
  <c r="C17" i="1"/>
  <c r="O6" i="1"/>
  <c r="N6" i="1"/>
  <c r="P6" i="1"/>
  <c r="M6" i="1"/>
  <c r="O5" i="1"/>
  <c r="N5" i="1"/>
  <c r="O4" i="1"/>
  <c r="N4" i="1"/>
  <c r="E6" i="9"/>
  <c r="E22" i="1"/>
  <c r="E23" i="1"/>
  <c r="E24" i="1"/>
  <c r="O8" i="1"/>
  <c r="D22" i="1"/>
  <c r="D23" i="1"/>
  <c r="D24" i="1"/>
  <c r="N8" i="1"/>
  <c r="Q6" i="1"/>
  <c r="R6" i="1"/>
  <c r="S6" i="1"/>
  <c r="M8" i="1"/>
  <c r="C22" i="1"/>
  <c r="C23" i="1"/>
  <c r="C24" i="1"/>
  <c r="D6" i="9"/>
  <c r="P7" i="1"/>
  <c r="P4" i="1"/>
  <c r="P5" i="1"/>
  <c r="E17" i="4"/>
  <c r="E19" i="4"/>
  <c r="F13" i="4"/>
  <c r="F15" i="4"/>
  <c r="G3" i="4"/>
  <c r="B7" i="6"/>
  <c r="C7" i="9"/>
  <c r="F11" i="4"/>
  <c r="F5" i="1"/>
  <c r="C6" i="4"/>
  <c r="C9" i="4"/>
  <c r="C12" i="4"/>
  <c r="F6" i="4"/>
  <c r="P8" i="1"/>
  <c r="Q8" i="1"/>
  <c r="F16" i="1"/>
  <c r="Q7" i="1"/>
  <c r="G16" i="1"/>
  <c r="R7" i="1"/>
  <c r="F6" i="1"/>
  <c r="Q5" i="1"/>
  <c r="R5" i="1"/>
  <c r="T6" i="1"/>
  <c r="Q4" i="1"/>
  <c r="F13" i="6"/>
  <c r="F10" i="6"/>
  <c r="E10" i="6"/>
  <c r="G10" i="6"/>
  <c r="H10" i="6"/>
  <c r="D10" i="6"/>
  <c r="S5" i="1"/>
  <c r="T5" i="1"/>
  <c r="S7" i="1"/>
  <c r="T7" i="1"/>
  <c r="H16" i="1"/>
  <c r="I16" i="1"/>
  <c r="R4" i="1"/>
  <c r="S4" i="1"/>
  <c r="G6" i="1"/>
  <c r="H6" i="1"/>
  <c r="R8" i="1"/>
  <c r="S8" i="1"/>
  <c r="F10" i="1"/>
  <c r="F7" i="1"/>
  <c r="F13" i="1"/>
  <c r="F15" i="1"/>
  <c r="G5" i="1"/>
  <c r="D5" i="6"/>
  <c r="D11" i="6"/>
  <c r="F17" i="1"/>
  <c r="J16" i="1"/>
  <c r="T4" i="1"/>
  <c r="H5" i="1"/>
  <c r="G7" i="1"/>
  <c r="G10" i="1"/>
  <c r="T8" i="1"/>
  <c r="I6" i="1"/>
  <c r="J6" i="1"/>
  <c r="G13" i="1"/>
  <c r="G15" i="1"/>
  <c r="F18" i="1"/>
  <c r="F22" i="1"/>
  <c r="F23" i="1"/>
  <c r="F24" i="1"/>
  <c r="I5" i="1"/>
  <c r="H10" i="1"/>
  <c r="H7" i="1"/>
  <c r="H13" i="1"/>
  <c r="H15" i="1"/>
  <c r="F5" i="6"/>
  <c r="F11" i="6"/>
  <c r="H17" i="1"/>
  <c r="J5" i="1"/>
  <c r="I10" i="1"/>
  <c r="I7" i="1"/>
  <c r="E5" i="6"/>
  <c r="E11" i="6"/>
  <c r="G17" i="1"/>
  <c r="J10" i="1"/>
  <c r="J7" i="1"/>
  <c r="J13" i="1"/>
  <c r="J15" i="1"/>
  <c r="H18" i="1"/>
  <c r="H22" i="1"/>
  <c r="H23" i="1"/>
  <c r="H24" i="1"/>
  <c r="G18" i="1"/>
  <c r="G22" i="1"/>
  <c r="G23" i="1"/>
  <c r="G24" i="1"/>
  <c r="I13" i="1"/>
  <c r="I15" i="1"/>
  <c r="G5" i="6"/>
  <c r="G11" i="6"/>
  <c r="I17" i="1"/>
  <c r="H5" i="6"/>
  <c r="J17" i="1"/>
  <c r="H11" i="6"/>
  <c r="B18" i="6"/>
  <c r="F15" i="6"/>
  <c r="D18" i="6"/>
  <c r="J18" i="1"/>
  <c r="J22" i="1"/>
  <c r="J23" i="1"/>
  <c r="J24" i="1"/>
  <c r="I18" i="1"/>
  <c r="I22" i="1"/>
  <c r="I23" i="1"/>
  <c r="I24" i="1"/>
  <c r="F18" i="6"/>
  <c r="F19" i="6"/>
  <c r="F21" i="6"/>
  <c r="F26" i="6"/>
  <c r="F29" i="6"/>
  <c r="F31" i="6"/>
</calcChain>
</file>

<file path=xl/sharedStrings.xml><?xml version="1.0" encoding="utf-8"?>
<sst xmlns="http://schemas.openxmlformats.org/spreadsheetml/2006/main" count="160" uniqueCount="144">
  <si>
    <t>Period Ending:</t>
  </si>
  <si>
    <t>Total Revenue</t>
  </si>
  <si>
    <t>Cost of Revenue</t>
  </si>
  <si>
    <t>Gross Profit</t>
  </si>
  <si>
    <t>Operating Expenses</t>
  </si>
  <si>
    <t>Research and Development</t>
  </si>
  <si>
    <t>Sales, General and Admin.</t>
  </si>
  <si>
    <t>Non-Recurring Items</t>
  </si>
  <si>
    <t>Other Operating Items</t>
  </si>
  <si>
    <t>Operating Income</t>
  </si>
  <si>
    <t>Add'l income/expense items</t>
  </si>
  <si>
    <t>Earnings Before Interest and Tax</t>
  </si>
  <si>
    <t>Interest Expense</t>
  </si>
  <si>
    <t>Earnings Before Tax</t>
  </si>
  <si>
    <t>Income Tax</t>
  </si>
  <si>
    <t>Minority Interest</t>
  </si>
  <si>
    <t>Equity Earnings/Loss Unconsolidated Subsidiary</t>
  </si>
  <si>
    <t>Net Income-Cont. Operations</t>
  </si>
  <si>
    <t>Net Income</t>
  </si>
  <si>
    <t>Net Income Applicable to Common Shareholders</t>
  </si>
  <si>
    <t>Current Assets</t>
  </si>
  <si>
    <t>Cash and Cash Equivalents</t>
  </si>
  <si>
    <t>Short-Term Investments</t>
  </si>
  <si>
    <t>Net Receivables</t>
  </si>
  <si>
    <t>Inventory</t>
  </si>
  <si>
    <t>Other Current Assets</t>
  </si>
  <si>
    <t>Total Current Assets</t>
  </si>
  <si>
    <t>Long-Term Assets</t>
  </si>
  <si>
    <t>Long-Term Investments</t>
  </si>
  <si>
    <t>Fixed Assets</t>
  </si>
  <si>
    <t>Goodwill</t>
  </si>
  <si>
    <t>Intangible Assets</t>
  </si>
  <si>
    <t>Other Assets</t>
  </si>
  <si>
    <t>Deferred Asset Charges</t>
  </si>
  <si>
    <t>Total Assets</t>
  </si>
  <si>
    <t>Current Liabilities</t>
  </si>
  <si>
    <t>Accounts Payable</t>
  </si>
  <si>
    <t>Short-Term Debt / Current Portion of Long-Term Debt</t>
  </si>
  <si>
    <t>Other Current Liabilities</t>
  </si>
  <si>
    <t>Total Current Liabilities</t>
  </si>
  <si>
    <t>Long-Term Debt</t>
  </si>
  <si>
    <t>Other Liabilities</t>
  </si>
  <si>
    <t>Deferred Liability Charges</t>
  </si>
  <si>
    <t>Misc. Stocks</t>
  </si>
  <si>
    <t>Total Liabilities</t>
  </si>
  <si>
    <t>Stock Holders Equity</t>
  </si>
  <si>
    <t>Common Stocks</t>
  </si>
  <si>
    <t>Capital Surplus</t>
  </si>
  <si>
    <t>Retained Earnings</t>
  </si>
  <si>
    <t>Treasury Stock</t>
  </si>
  <si>
    <t>Other Equity</t>
  </si>
  <si>
    <t>Total Equity</t>
  </si>
  <si>
    <t>Total Liabilities &amp; Equity</t>
  </si>
  <si>
    <t>Cash Flows-Operating Activities</t>
  </si>
  <si>
    <t>Depreciation</t>
  </si>
  <si>
    <t>Net Income Adjustments</t>
  </si>
  <si>
    <t>Changes in Operating Activities</t>
  </si>
  <si>
    <t>Accounts Receivable</t>
  </si>
  <si>
    <t>Changes in Inventories</t>
  </si>
  <si>
    <t>Other Operating Activities</t>
  </si>
  <si>
    <t>Liabilities</t>
  </si>
  <si>
    <t>Net Cash Flow-Operating</t>
  </si>
  <si>
    <t>Cash Flows-Investing Activities</t>
  </si>
  <si>
    <t>Capital Expenditures</t>
  </si>
  <si>
    <t>Investments</t>
  </si>
  <si>
    <t>Other Investing Activities</t>
  </si>
  <si>
    <t>Net Cash Flows-Investing</t>
  </si>
  <si>
    <t>Cash Flows-Financing Activities</t>
  </si>
  <si>
    <t>Sale and Purchase of Stock</t>
  </si>
  <si>
    <t>Net Borrowings</t>
  </si>
  <si>
    <t>Other Financing Activities</t>
  </si>
  <si>
    <t>Net Cash Flows-Financing</t>
  </si>
  <si>
    <t>Effect of Exchange Rate</t>
  </si>
  <si>
    <t>Net Cash Flow</t>
  </si>
  <si>
    <t>Rf</t>
  </si>
  <si>
    <t>βj</t>
  </si>
  <si>
    <t>Rm</t>
  </si>
  <si>
    <t>10 year bond Closing for 2018</t>
  </si>
  <si>
    <t>Average S&amp;P 500 for 2016 to 2018</t>
  </si>
  <si>
    <t>Discounted Cash Flow Analysis</t>
  </si>
  <si>
    <t>CASH FLOW (CF)</t>
  </si>
  <si>
    <t>EBIT</t>
  </si>
  <si>
    <t xml:space="preserve">COST OF CAPITAL </t>
  </si>
  <si>
    <t>Cost of Capital</t>
  </si>
  <si>
    <t>Discount Factor</t>
  </si>
  <si>
    <t>Present Value of Cash Flows</t>
  </si>
  <si>
    <t>Growth Rate in Perpetuity</t>
  </si>
  <si>
    <t xml:space="preserve">inflation rate </t>
  </si>
  <si>
    <t>Terminal Value</t>
  </si>
  <si>
    <t>PV of CF</t>
  </si>
  <si>
    <t>PV of Terminal Value</t>
  </si>
  <si>
    <t>+</t>
  </si>
  <si>
    <t>=</t>
  </si>
  <si>
    <t>long term debt</t>
  </si>
  <si>
    <t>Current share price</t>
  </si>
  <si>
    <t>INCOME STATEMENT</t>
  </si>
  <si>
    <t>Total Revenue growth</t>
  </si>
  <si>
    <t>Change rates</t>
  </si>
  <si>
    <t>Projections</t>
  </si>
  <si>
    <t>000'</t>
  </si>
  <si>
    <t>Minority interest will remain at $8,000,000</t>
  </si>
  <si>
    <t>Effective tax rate</t>
  </si>
  <si>
    <t>Equity Earnings/Loss Unconsolidated Subsidiary remains constant at the 2018 year figure.</t>
  </si>
  <si>
    <t>WACC</t>
  </si>
  <si>
    <t>berofe new tax code</t>
  </si>
  <si>
    <t>effective  taxrate</t>
  </si>
  <si>
    <t xml:space="preserve">Tax rate </t>
  </si>
  <si>
    <t>r(d)</t>
  </si>
  <si>
    <t>r(e)</t>
  </si>
  <si>
    <t>D=</t>
  </si>
  <si>
    <t>E=</t>
  </si>
  <si>
    <t>D+E=V=</t>
  </si>
  <si>
    <t>Debt:</t>
  </si>
  <si>
    <t>total current liabilities</t>
  </si>
  <si>
    <t>total debt</t>
  </si>
  <si>
    <t>Interest expense</t>
  </si>
  <si>
    <t>Longterm debt</t>
  </si>
  <si>
    <t>Rate</t>
  </si>
  <si>
    <t>Average</t>
  </si>
  <si>
    <t>Total</t>
  </si>
  <si>
    <t>Cash and Marketable securities</t>
  </si>
  <si>
    <t>Enterprice Value</t>
  </si>
  <si>
    <t>Short term debt</t>
  </si>
  <si>
    <t>Equity value</t>
  </si>
  <si>
    <t>Sales, General and Admin expenses will grow as a fraction of total revenue.</t>
  </si>
  <si>
    <t>PV of operations</t>
  </si>
  <si>
    <t>WACC COMPUTATION</t>
  </si>
  <si>
    <t>PRESENT VALUE OF CASH FLOWS</t>
  </si>
  <si>
    <t>TERMINAL VALUE</t>
  </si>
  <si>
    <t>Kellongg's PV of Operations</t>
  </si>
  <si>
    <t>Moving averages for past revenues are used to predict growth rates in revenues</t>
  </si>
  <si>
    <t>Research and development costs will never be incurred</t>
  </si>
  <si>
    <t>The company will not have non-reccuring items throughout its lifetime</t>
  </si>
  <si>
    <t>Other operating items will never emerge</t>
  </si>
  <si>
    <t>Additional income/expense items will remain constant at the previous 3 year average</t>
  </si>
  <si>
    <t>No:</t>
  </si>
  <si>
    <t>Premium</t>
  </si>
  <si>
    <t>Inflation rates will be used to predict the constant growth rate at the steady state and average for 3 preceding years is used</t>
  </si>
  <si>
    <t>Estimated value per share</t>
  </si>
  <si>
    <t>Estimated shares outstandings</t>
  </si>
  <si>
    <t>Balance Sheet</t>
  </si>
  <si>
    <t>Cashflow Statement</t>
  </si>
  <si>
    <t>Ke=Rf+βj(Rm-Rf)</t>
  </si>
  <si>
    <t>Ke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</si>
</sst>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_-* #,##0_-;\-* #,##0_-;_-* &quot;-&quot;??_-;_-@_-"/>
    <numFmt numFmtId="166" formatCode="0.0%"/>
    <numFmt numFmtId="167" formatCode="&quot;Year &quot;0"/>
    <numFmt numFmtId="168" formatCode="#,##0.0"/>
    <numFmt numFmtId="169" formatCode="_-* #,##0.000_-;\-* #,##0.000_-;_-* &quot;-&quot;??_-;_-@_-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424242"/>
      <name val="Arial"/>
      <family val="2"/>
    </font>
    <font>
      <sz val="11"/>
      <color rgb="FF424242"/>
      <name val="Arial"/>
      <family val="2"/>
    </font>
    <font>
      <b/>
      <sz val="11"/>
      <color rgb="FFFFFFFF"/>
      <name val="Arial"/>
      <family val="2"/>
    </font>
    <font>
      <b/>
      <u/>
      <sz val="1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rgb="FF850C70"/>
      </top>
      <bottom style="medium">
        <color rgb="FF850C70"/>
      </bottom>
      <diagonal/>
    </border>
    <border>
      <left/>
      <right/>
      <top style="medium">
        <color rgb="FFE6E6E6"/>
      </top>
      <bottom/>
      <diagonal/>
    </border>
    <border>
      <left style="medium">
        <color rgb="FFD1D1D1"/>
      </left>
      <right/>
      <top style="medium">
        <color rgb="FFD1D1D1"/>
      </top>
      <bottom/>
      <diagonal/>
    </border>
    <border>
      <left/>
      <right/>
      <top style="medium">
        <color rgb="FFD1D1D1"/>
      </top>
      <bottom/>
      <diagonal/>
    </border>
    <border>
      <left style="medium">
        <color rgb="FFD1D1D1"/>
      </left>
      <right/>
      <top/>
      <bottom/>
      <diagonal/>
    </border>
    <border>
      <left style="medium">
        <color rgb="FFD1D1D1"/>
      </left>
      <right/>
      <top style="medium">
        <color rgb="FF850C70"/>
      </top>
      <bottom style="medium">
        <color rgb="FF850C70"/>
      </bottom>
      <diagonal/>
    </border>
    <border>
      <left style="medium">
        <color rgb="FFD1D1D1"/>
      </left>
      <right/>
      <top style="medium">
        <color rgb="FF850C70"/>
      </top>
      <bottom/>
      <diagonal/>
    </border>
    <border>
      <left/>
      <right/>
      <top style="medium">
        <color rgb="FF850C70"/>
      </top>
      <bottom/>
      <diagonal/>
    </border>
    <border>
      <left/>
      <right/>
      <top style="medium">
        <color rgb="FFE6E6E6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D1D1D1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rgb="FFE6E6E6"/>
      </top>
      <bottom style="medium">
        <color indexed="64"/>
      </bottom>
      <diagonal/>
    </border>
    <border>
      <left style="thin">
        <color indexed="64"/>
      </left>
      <right/>
      <top style="medium">
        <color rgb="FFE6E6E6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</cellStyleXfs>
  <cellXfs count="128">
    <xf numFmtId="0" fontId="0" fillId="0" borderId="0" xfId="0"/>
    <xf numFmtId="0" fontId="2" fillId="0" borderId="0" xfId="0" applyFont="1" applyFill="1"/>
    <xf numFmtId="0" fontId="3" fillId="0" borderId="5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vertical="top" wrapText="1"/>
    </xf>
    <xf numFmtId="3" fontId="2" fillId="0" borderId="2" xfId="0" applyNumberFormat="1" applyFont="1" applyFill="1" applyBorder="1" applyAlignment="1">
      <alignment vertical="top" wrapText="1"/>
    </xf>
    <xf numFmtId="3" fontId="3" fillId="0" borderId="2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vertical="top" wrapText="1"/>
    </xf>
    <xf numFmtId="0" fontId="3" fillId="0" borderId="11" xfId="0" applyFont="1" applyFill="1" applyBorder="1" applyAlignment="1">
      <alignment horizontal="left" vertical="top" wrapText="1"/>
    </xf>
    <xf numFmtId="3" fontId="3" fillId="0" borderId="9" xfId="0" applyNumberFormat="1" applyFont="1" applyFill="1" applyBorder="1" applyAlignment="1">
      <alignment vertical="top" wrapText="1"/>
    </xf>
    <xf numFmtId="0" fontId="2" fillId="0" borderId="10" xfId="0" applyFont="1" applyFill="1" applyBorder="1"/>
    <xf numFmtId="0" fontId="3" fillId="0" borderId="10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3" fontId="4" fillId="0" borderId="0" xfId="0" applyNumberFormat="1" applyFont="1" applyFill="1" applyAlignment="1">
      <alignment vertical="top" wrapText="1"/>
    </xf>
    <xf numFmtId="3" fontId="5" fillId="0" borderId="8" xfId="0" applyNumberFormat="1" applyFont="1" applyFill="1" applyBorder="1" applyAlignment="1">
      <alignment vertical="top" wrapText="1"/>
    </xf>
    <xf numFmtId="3" fontId="5" fillId="0" borderId="2" xfId="0" applyNumberFormat="1" applyFont="1" applyFill="1" applyBorder="1" applyAlignment="1">
      <alignment vertical="top" wrapText="1"/>
    </xf>
    <xf numFmtId="3" fontId="4" fillId="0" borderId="2" xfId="0" applyNumberFormat="1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9" fillId="0" borderId="0" xfId="0" applyFont="1" applyFill="1"/>
    <xf numFmtId="2" fontId="9" fillId="0" borderId="0" xfId="0" applyNumberFormat="1" applyFont="1" applyFill="1"/>
    <xf numFmtId="3" fontId="9" fillId="0" borderId="0" xfId="0" applyNumberFormat="1" applyFont="1" applyFill="1"/>
    <xf numFmtId="3" fontId="9" fillId="0" borderId="14" xfId="0" applyNumberFormat="1" applyFont="1" applyFill="1" applyBorder="1"/>
    <xf numFmtId="10" fontId="9" fillId="0" borderId="0" xfId="0" applyNumberFormat="1" applyFont="1" applyFill="1"/>
    <xf numFmtId="0" fontId="8" fillId="0" borderId="0" xfId="4" applyNumberFormat="1" applyFont="1" applyFill="1" applyAlignment="1">
      <alignment horizontal="left"/>
    </xf>
    <xf numFmtId="0" fontId="9" fillId="0" borderId="0" xfId="4" applyFont="1" applyFill="1" applyAlignment="1">
      <alignment horizontal="left"/>
    </xf>
    <xf numFmtId="9" fontId="9" fillId="0" borderId="0" xfId="3" applyFont="1" applyFill="1"/>
    <xf numFmtId="168" fontId="9" fillId="0" borderId="0" xfId="0" applyNumberFormat="1" applyFont="1" applyFill="1"/>
    <xf numFmtId="0" fontId="9" fillId="0" borderId="14" xfId="0" applyFont="1" applyFill="1" applyBorder="1"/>
    <xf numFmtId="0" fontId="10" fillId="0" borderId="0" xfId="0" applyFont="1" applyFill="1"/>
    <xf numFmtId="165" fontId="11" fillId="0" borderId="0" xfId="2" applyNumberFormat="1" applyFont="1" applyFill="1"/>
    <xf numFmtId="0" fontId="11" fillId="0" borderId="0" xfId="0" applyFont="1" applyFill="1"/>
    <xf numFmtId="0" fontId="11" fillId="2" borderId="0" xfId="0" applyFont="1" applyFill="1"/>
    <xf numFmtId="1" fontId="11" fillId="0" borderId="0" xfId="2" applyNumberFormat="1" applyFont="1" applyFill="1"/>
    <xf numFmtId="164" fontId="11" fillId="0" borderId="0" xfId="0" applyNumberFormat="1" applyFont="1" applyFill="1"/>
    <xf numFmtId="164" fontId="11" fillId="2" borderId="0" xfId="0" applyNumberFormat="1" applyFont="1" applyFill="1"/>
    <xf numFmtId="0" fontId="11" fillId="0" borderId="10" xfId="0" applyFont="1" applyFill="1" applyBorder="1"/>
    <xf numFmtId="9" fontId="11" fillId="2" borderId="0" xfId="0" applyNumberFormat="1" applyFont="1" applyFill="1"/>
    <xf numFmtId="0" fontId="12" fillId="0" borderId="3" xfId="0" applyFont="1" applyFill="1" applyBorder="1" applyAlignment="1">
      <alignment horizontal="left" vertical="top" wrapText="1"/>
    </xf>
    <xf numFmtId="1" fontId="12" fillId="0" borderId="4" xfId="2" applyNumberFormat="1" applyFont="1" applyFill="1" applyBorder="1" applyAlignment="1">
      <alignment horizontal="left" vertical="top" wrapText="1"/>
    </xf>
    <xf numFmtId="1" fontId="12" fillId="2" borderId="0" xfId="2" applyNumberFormat="1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165" fontId="13" fillId="0" borderId="0" xfId="2" applyNumberFormat="1" applyFont="1" applyFill="1" applyAlignment="1">
      <alignment vertical="top" wrapText="1"/>
    </xf>
    <xf numFmtId="165" fontId="13" fillId="0" borderId="2" xfId="2" applyNumberFormat="1" applyFont="1" applyFill="1" applyBorder="1" applyAlignment="1">
      <alignment vertical="top" wrapText="1"/>
    </xf>
    <xf numFmtId="0" fontId="12" fillId="0" borderId="11" xfId="0" applyFont="1" applyFill="1" applyBorder="1" applyAlignment="1">
      <alignment horizontal="left" vertical="top" wrapText="1"/>
    </xf>
    <xf numFmtId="165" fontId="12" fillId="0" borderId="9" xfId="2" applyNumberFormat="1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top" wrapText="1"/>
    </xf>
    <xf numFmtId="9" fontId="13" fillId="0" borderId="0" xfId="3" applyFont="1" applyFill="1" applyAlignment="1">
      <alignment vertical="top" wrapText="1"/>
    </xf>
    <xf numFmtId="165" fontId="13" fillId="0" borderId="0" xfId="2" applyNumberFormat="1" applyFont="1" applyFill="1" applyBorder="1" applyAlignment="1">
      <alignment vertical="top" wrapText="1"/>
    </xf>
    <xf numFmtId="165" fontId="12" fillId="0" borderId="2" xfId="2" applyNumberFormat="1" applyFont="1" applyFill="1" applyBorder="1" applyAlignment="1">
      <alignment vertical="top" wrapText="1"/>
    </xf>
    <xf numFmtId="0" fontId="11" fillId="0" borderId="0" xfId="0" applyFont="1" applyAlignment="1"/>
    <xf numFmtId="0" fontId="4" fillId="0" borderId="0" xfId="0" applyFont="1" applyFill="1"/>
    <xf numFmtId="0" fontId="5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NumberFormat="1" applyFont="1" applyFill="1" applyAlignment="1">
      <alignment horizontal="center"/>
    </xf>
    <xf numFmtId="0" fontId="5" fillId="0" borderId="12" xfId="0" applyFont="1" applyFill="1" applyBorder="1"/>
    <xf numFmtId="38" fontId="5" fillId="0" borderId="12" xfId="0" applyNumberFormat="1" applyFont="1" applyFill="1" applyBorder="1"/>
    <xf numFmtId="166" fontId="4" fillId="0" borderId="13" xfId="0" applyNumberFormat="1" applyFont="1" applyFill="1" applyBorder="1"/>
    <xf numFmtId="1" fontId="4" fillId="0" borderId="0" xfId="0" applyNumberFormat="1" applyFont="1" applyFill="1" applyAlignment="1">
      <alignment horizontal="center"/>
    </xf>
    <xf numFmtId="167" fontId="5" fillId="0" borderId="0" xfId="0" applyNumberFormat="1" applyFont="1" applyFill="1" applyAlignment="1">
      <alignment horizontal="center"/>
    </xf>
    <xf numFmtId="166" fontId="5" fillId="0" borderId="0" xfId="0" applyNumberFormat="1" applyFont="1" applyFill="1" applyBorder="1"/>
    <xf numFmtId="2" fontId="5" fillId="0" borderId="0" xfId="0" applyNumberFormat="1" applyFont="1" applyFill="1"/>
    <xf numFmtId="0" fontId="4" fillId="0" borderId="12" xfId="0" applyFont="1" applyFill="1" applyBorder="1"/>
    <xf numFmtId="38" fontId="4" fillId="0" borderId="12" xfId="0" applyNumberFormat="1" applyFont="1" applyFill="1" applyBorder="1"/>
    <xf numFmtId="166" fontId="5" fillId="0" borderId="0" xfId="0" applyNumberFormat="1" applyFont="1" applyFill="1"/>
    <xf numFmtId="166" fontId="4" fillId="0" borderId="0" xfId="0" applyNumberFormat="1" applyFont="1" applyFill="1" applyBorder="1"/>
    <xf numFmtId="38" fontId="4" fillId="0" borderId="0" xfId="0" applyNumberFormat="1" applyFont="1" applyFill="1" applyBorder="1"/>
    <xf numFmtId="38" fontId="5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38" fontId="4" fillId="0" borderId="0" xfId="0" applyNumberFormat="1" applyFont="1" applyFill="1" applyBorder="1" applyAlignment="1">
      <alignment horizontal="center"/>
    </xf>
    <xf numFmtId="38" fontId="5" fillId="0" borderId="0" xfId="0" applyNumberFormat="1" applyFont="1" applyFill="1" applyBorder="1" applyAlignment="1">
      <alignment horizontal="center"/>
    </xf>
    <xf numFmtId="38" fontId="5" fillId="3" borderId="14" xfId="0" applyNumberFormat="1" applyFont="1" applyFill="1" applyBorder="1" applyAlignment="1">
      <alignment horizontal="center"/>
    </xf>
    <xf numFmtId="0" fontId="5" fillId="0" borderId="0" xfId="0" applyFont="1" applyFill="1" applyAlignment="1"/>
    <xf numFmtId="3" fontId="5" fillId="0" borderId="0" xfId="0" applyNumberFormat="1" applyFont="1" applyFill="1"/>
    <xf numFmtId="10" fontId="5" fillId="0" borderId="0" xfId="0" applyNumberFormat="1" applyFont="1" applyFill="1"/>
    <xf numFmtId="49" fontId="5" fillId="3" borderId="0" xfId="0" applyNumberFormat="1" applyFont="1" applyFill="1" applyAlignment="1">
      <alignment horizontal="center"/>
    </xf>
    <xf numFmtId="1" fontId="11" fillId="2" borderId="17" xfId="2" applyNumberFormat="1" applyFont="1" applyFill="1" applyBorder="1"/>
    <xf numFmtId="1" fontId="11" fillId="2" borderId="0" xfId="2" applyNumberFormat="1" applyFont="1" applyFill="1"/>
    <xf numFmtId="165" fontId="12" fillId="2" borderId="17" xfId="2" applyNumberFormat="1" applyFont="1" applyFill="1" applyBorder="1" applyAlignment="1">
      <alignment horizontal="center" vertical="top" wrapText="1"/>
    </xf>
    <xf numFmtId="165" fontId="12" fillId="2" borderId="0" xfId="2" applyNumberFormat="1" applyFont="1" applyFill="1" applyBorder="1" applyAlignment="1">
      <alignment horizontal="center" vertical="top" wrapText="1"/>
    </xf>
    <xf numFmtId="165" fontId="13" fillId="2" borderId="17" xfId="2" applyNumberFormat="1" applyFont="1" applyFill="1" applyBorder="1" applyAlignment="1">
      <alignment vertical="top" wrapText="1"/>
    </xf>
    <xf numFmtId="165" fontId="13" fillId="2" borderId="0" xfId="2" applyNumberFormat="1" applyFont="1" applyFill="1" applyAlignment="1">
      <alignment vertical="top" wrapText="1"/>
    </xf>
    <xf numFmtId="165" fontId="12" fillId="2" borderId="18" xfId="2" applyNumberFormat="1" applyFont="1" applyFill="1" applyBorder="1" applyAlignment="1">
      <alignment vertical="top" wrapText="1"/>
    </xf>
    <xf numFmtId="165" fontId="12" fillId="2" borderId="9" xfId="2" applyNumberFormat="1" applyFont="1" applyFill="1" applyBorder="1" applyAlignment="1">
      <alignment vertical="top" wrapText="1"/>
    </xf>
    <xf numFmtId="0" fontId="11" fillId="2" borderId="17" xfId="0" applyFont="1" applyFill="1" applyBorder="1"/>
    <xf numFmtId="0" fontId="11" fillId="2" borderId="0" xfId="0" applyFont="1" applyFill="1" applyBorder="1"/>
    <xf numFmtId="165" fontId="13" fillId="2" borderId="0" xfId="2" applyNumberFormat="1" applyFont="1" applyFill="1" applyBorder="1" applyAlignment="1">
      <alignment vertical="top" wrapText="1"/>
    </xf>
    <xf numFmtId="165" fontId="13" fillId="2" borderId="19" xfId="2" applyNumberFormat="1" applyFont="1" applyFill="1" applyBorder="1" applyAlignment="1">
      <alignment vertical="top" wrapText="1"/>
    </xf>
    <xf numFmtId="165" fontId="13" fillId="2" borderId="2" xfId="2" applyNumberFormat="1" applyFont="1" applyFill="1" applyBorder="1" applyAlignment="1">
      <alignment vertical="top" wrapText="1"/>
    </xf>
    <xf numFmtId="165" fontId="12" fillId="2" borderId="19" xfId="2" applyNumberFormat="1" applyFont="1" applyFill="1" applyBorder="1" applyAlignment="1">
      <alignment vertical="top" wrapText="1"/>
    </xf>
    <xf numFmtId="165" fontId="12" fillId="2" borderId="2" xfId="2" applyNumberFormat="1" applyFont="1" applyFill="1" applyBorder="1" applyAlignment="1">
      <alignment vertical="top" wrapText="1"/>
    </xf>
    <xf numFmtId="164" fontId="13" fillId="2" borderId="17" xfId="2" applyNumberFormat="1" applyFont="1" applyFill="1" applyBorder="1" applyAlignment="1">
      <alignment vertical="top" wrapText="1"/>
    </xf>
    <xf numFmtId="164" fontId="13" fillId="2" borderId="0" xfId="2" applyNumberFormat="1" applyFont="1" applyFill="1" applyBorder="1" applyAlignment="1">
      <alignment vertical="top" wrapText="1"/>
    </xf>
    <xf numFmtId="169" fontId="11" fillId="0" borderId="0" xfId="0" applyNumberFormat="1" applyFont="1" applyFill="1"/>
    <xf numFmtId="164" fontId="9" fillId="0" borderId="0" xfId="2" applyFont="1" applyFill="1"/>
    <xf numFmtId="0" fontId="15" fillId="0" borderId="0" xfId="1" applyFont="1" applyFill="1" applyAlignment="1">
      <alignment vertical="center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vertical="center"/>
    </xf>
    <xf numFmtId="0" fontId="8" fillId="2" borderId="15" xfId="0" applyFont="1" applyFill="1" applyBorder="1"/>
    <xf numFmtId="10" fontId="8" fillId="2" borderId="16" xfId="0" applyNumberFormat="1" applyFont="1" applyFill="1" applyBorder="1"/>
    <xf numFmtId="0" fontId="16" fillId="0" borderId="0" xfId="0" applyFont="1"/>
    <xf numFmtId="0" fontId="16" fillId="2" borderId="0" xfId="0" applyFont="1" applyFill="1"/>
    <xf numFmtId="165" fontId="16" fillId="0" borderId="0" xfId="2" applyNumberFormat="1" applyFont="1"/>
    <xf numFmtId="3" fontId="16" fillId="0" borderId="0" xfId="0" applyNumberFormat="1" applyFont="1"/>
    <xf numFmtId="164" fontId="16" fillId="0" borderId="0" xfId="0" applyNumberFormat="1" applyFont="1"/>
    <xf numFmtId="0" fontId="17" fillId="0" borderId="0" xfId="0" applyFont="1"/>
    <xf numFmtId="0" fontId="11" fillId="2" borderId="10" xfId="0" applyFont="1" applyFill="1" applyBorder="1" applyAlignment="1">
      <alignment horizontal="center"/>
    </xf>
    <xf numFmtId="165" fontId="12" fillId="0" borderId="4" xfId="2" quotePrefix="1" applyNumberFormat="1" applyFont="1" applyFill="1" applyBorder="1" applyAlignment="1">
      <alignment horizontal="center" vertical="top" wrapText="1"/>
    </xf>
    <xf numFmtId="165" fontId="12" fillId="0" borderId="4" xfId="2" applyNumberFormat="1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top" wrapText="1"/>
    </xf>
    <xf numFmtId="0" fontId="14" fillId="0" borderId="10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10" xfId="0" quotePrefix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4" fillId="0" borderId="0" xfId="0" quotePrefix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center"/>
    </xf>
    <xf numFmtId="0" fontId="17" fillId="0" borderId="0" xfId="0" quotePrefix="1" applyFont="1" applyAlignment="1">
      <alignment horizontal="center"/>
    </xf>
    <xf numFmtId="0" fontId="17" fillId="0" borderId="0" xfId="0" applyFont="1" applyAlignment="1">
      <alignment horizontal="center"/>
    </xf>
    <xf numFmtId="49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</cellXfs>
  <cellStyles count="5">
    <cellStyle name="Comma" xfId="2" builtinId="3"/>
    <cellStyle name="Hyperlink" xfId="1" builtinId="8"/>
    <cellStyle name="Normal" xfId="0" builtinId="0"/>
    <cellStyle name="Normal 2" xfId="4" xr:uid="{00000000-0005-0000-0000-00000300000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24"/>
  <sheetViews>
    <sheetView workbookViewId="0" xr3:uid="{AEA406A1-0E4B-5B11-9CD5-51D6E497D94C}">
      <selection activeCell="L17" sqref="L17"/>
    </sheetView>
  </sheetViews>
  <sheetFormatPr defaultColWidth="9.14453125" defaultRowHeight="13.5" x14ac:dyDescent="0.15"/>
  <cols>
    <col min="1" max="1" width="9.14453125" style="35"/>
    <col min="2" max="2" width="41.1640625" style="35" bestFit="1" customWidth="1"/>
    <col min="3" max="4" width="12.375" style="34" bestFit="1" customWidth="1"/>
    <col min="5" max="5" width="13.98828125" style="34" bestFit="1" customWidth="1"/>
    <col min="6" max="10" width="13.31640625" style="34" customWidth="1"/>
    <col min="11" max="11" width="9.14453125" style="35"/>
    <col min="12" max="12" width="24.34765625" style="35" bestFit="1" customWidth="1"/>
    <col min="13" max="15" width="10.89453125" style="35" bestFit="1" customWidth="1"/>
    <col min="16" max="20" width="9.68359375" style="35" bestFit="1" customWidth="1"/>
    <col min="21" max="16384" width="9.14453125" style="35"/>
  </cols>
  <sheetData>
    <row r="2" spans="2:20" ht="14.25" thickBot="1" x14ac:dyDescent="0.2">
      <c r="B2" s="33" t="s">
        <v>95</v>
      </c>
      <c r="L2" s="36" t="s">
        <v>97</v>
      </c>
      <c r="P2" s="112" t="s">
        <v>98</v>
      </c>
      <c r="Q2" s="112"/>
      <c r="R2" s="112"/>
      <c r="S2" s="112"/>
      <c r="T2" s="112"/>
    </row>
    <row r="3" spans="2:20" ht="14.25" thickBot="1" x14ac:dyDescent="0.2">
      <c r="B3" s="33"/>
      <c r="C3" s="37">
        <v>2016</v>
      </c>
      <c r="D3" s="37">
        <v>2017</v>
      </c>
      <c r="E3" s="37">
        <v>2018</v>
      </c>
      <c r="F3" s="80">
        <v>2019</v>
      </c>
      <c r="G3" s="81">
        <v>2020</v>
      </c>
      <c r="H3" s="81">
        <v>2021</v>
      </c>
      <c r="I3" s="81">
        <v>2022</v>
      </c>
      <c r="J3" s="81">
        <v>2023</v>
      </c>
      <c r="L3" s="42" t="s">
        <v>0</v>
      </c>
      <c r="M3" s="43">
        <v>2016</v>
      </c>
      <c r="N3" s="43">
        <v>2017</v>
      </c>
      <c r="O3" s="43">
        <v>2018</v>
      </c>
      <c r="P3" s="44">
        <v>2019</v>
      </c>
      <c r="Q3" s="44">
        <v>2020</v>
      </c>
      <c r="R3" s="44">
        <v>2021</v>
      </c>
      <c r="S3" s="44">
        <v>2022</v>
      </c>
      <c r="T3" s="44">
        <v>2023</v>
      </c>
    </row>
    <row r="4" spans="2:20" x14ac:dyDescent="0.15">
      <c r="B4" s="42" t="s">
        <v>0</v>
      </c>
      <c r="C4" s="113" t="s">
        <v>99</v>
      </c>
      <c r="D4" s="114"/>
      <c r="E4" s="114"/>
      <c r="F4" s="82"/>
      <c r="G4" s="83"/>
      <c r="H4" s="83"/>
      <c r="I4" s="83"/>
      <c r="J4" s="83"/>
      <c r="L4" s="45" t="s">
        <v>96</v>
      </c>
      <c r="N4" s="38">
        <f>(D5-C5)/C5</f>
        <v>-8.5615117624373311E-3</v>
      </c>
      <c r="O4" s="38">
        <f>(E5-D5)/D5</f>
        <v>5.3913178777034387E-2</v>
      </c>
      <c r="P4" s="39">
        <f>AVERAGE(N4:O4)</f>
        <v>2.2675833507298529E-2</v>
      </c>
      <c r="Q4" s="39">
        <f t="shared" ref="Q4:R8" si="0">AVERAGE(N4:P4)</f>
        <v>2.2675833507298529E-2</v>
      </c>
      <c r="R4" s="39">
        <f t="shared" si="0"/>
        <v>3.3088281930543813E-2</v>
      </c>
      <c r="S4" s="39">
        <f t="shared" ref="S4:T7" si="1">AVERAGE(P4:R4)</f>
        <v>2.6146649648380288E-2</v>
      </c>
      <c r="T4" s="39">
        <f t="shared" si="1"/>
        <v>2.7303588362074211E-2</v>
      </c>
    </row>
    <row r="5" spans="2:20" ht="14.25" thickBot="1" x14ac:dyDescent="0.2">
      <c r="B5" s="45" t="s">
        <v>1</v>
      </c>
      <c r="C5" s="46">
        <v>12965000</v>
      </c>
      <c r="D5" s="46">
        <v>12854000</v>
      </c>
      <c r="E5" s="46">
        <v>13547000</v>
      </c>
      <c r="F5" s="84">
        <f>E5*(1+P4)</f>
        <v>13854189.516523372</v>
      </c>
      <c r="G5" s="85">
        <f>F5*(1+Q4)</f>
        <v>14168344.811378617</v>
      </c>
      <c r="H5" s="85">
        <f>G5*(1+R4)</f>
        <v>14637150.998986671</v>
      </c>
      <c r="I5" s="85">
        <f>H5*(1+S4)</f>
        <v>15019863.458007613</v>
      </c>
      <c r="J5" s="85">
        <f>I5*(1+T4)</f>
        <v>15429959.627119614</v>
      </c>
      <c r="L5" s="45" t="s">
        <v>2</v>
      </c>
      <c r="N5" s="97">
        <f>(D6-C6)/C6</f>
        <v>2.9516664616898291E-3</v>
      </c>
      <c r="O5" s="38">
        <f>(E6-D6)/D6</f>
        <v>8.1667688534641319E-2</v>
      </c>
      <c r="P5" s="39">
        <f>AVERAGE(N5:O5)</f>
        <v>4.2309677498165575E-2</v>
      </c>
      <c r="Q5" s="39">
        <f t="shared" si="0"/>
        <v>4.2309677498165575E-2</v>
      </c>
      <c r="R5" s="39">
        <f t="shared" si="0"/>
        <v>5.5429014510324164E-2</v>
      </c>
      <c r="S5" s="39">
        <f t="shared" si="1"/>
        <v>4.6682789835551769E-2</v>
      </c>
      <c r="T5" s="39">
        <f t="shared" si="1"/>
        <v>4.8140493948013841E-2</v>
      </c>
    </row>
    <row r="6" spans="2:20" ht="27" thickBot="1" x14ac:dyDescent="0.2">
      <c r="B6" s="45" t="s">
        <v>2</v>
      </c>
      <c r="C6" s="47">
        <v>8131000</v>
      </c>
      <c r="D6" s="47">
        <v>8155000</v>
      </c>
      <c r="E6" s="47">
        <v>8821000</v>
      </c>
      <c r="F6" s="84">
        <f>E6*(1+P5)</f>
        <v>9194213.6652113181</v>
      </c>
      <c r="G6" s="85">
        <f>F6*(1+Q5)</f>
        <v>9583217.8802356347</v>
      </c>
      <c r="H6" s="85">
        <f>G6*(1+R5)</f>
        <v>10114406.203174815</v>
      </c>
      <c r="I6" s="85">
        <f>H6*(1+S5)</f>
        <v>10586574.902269024</v>
      </c>
      <c r="J6" s="85">
        <f>I6*(1+T5)</f>
        <v>11096217.847281903</v>
      </c>
      <c r="L6" s="45" t="s">
        <v>6</v>
      </c>
      <c r="M6" s="35">
        <f>ROUND((C10/C5),2)</f>
        <v>0.26</v>
      </c>
      <c r="N6" s="35">
        <f>ROUND((D10/D5),2)</f>
        <v>0.26</v>
      </c>
      <c r="O6" s="35">
        <f>ROUND((E10/E5),2)</f>
        <v>0.22</v>
      </c>
      <c r="P6" s="39">
        <f>AVERAGE(N6:O6)</f>
        <v>0.24</v>
      </c>
      <c r="Q6" s="39">
        <f t="shared" si="0"/>
        <v>0.24</v>
      </c>
      <c r="R6" s="39">
        <f t="shared" si="0"/>
        <v>0.23333333333333331</v>
      </c>
      <c r="S6" s="39">
        <f t="shared" si="1"/>
        <v>0.23777777777777775</v>
      </c>
      <c r="T6" s="39">
        <f t="shared" si="1"/>
        <v>0.23703703703703702</v>
      </c>
    </row>
    <row r="7" spans="2:20" ht="14.25" thickBot="1" x14ac:dyDescent="0.2">
      <c r="B7" s="48" t="s">
        <v>3</v>
      </c>
      <c r="C7" s="49">
        <f t="shared" ref="C7:J7" si="2">C5-C6</f>
        <v>4834000</v>
      </c>
      <c r="D7" s="49">
        <f t="shared" si="2"/>
        <v>4699000</v>
      </c>
      <c r="E7" s="49">
        <f t="shared" si="2"/>
        <v>4726000</v>
      </c>
      <c r="F7" s="86">
        <f t="shared" si="2"/>
        <v>4659975.8513120543</v>
      </c>
      <c r="G7" s="87">
        <f t="shared" si="2"/>
        <v>4585126.9311429821</v>
      </c>
      <c r="H7" s="87">
        <f t="shared" si="2"/>
        <v>4522744.7958118562</v>
      </c>
      <c r="I7" s="87">
        <f t="shared" si="2"/>
        <v>4433288.5557385888</v>
      </c>
      <c r="J7" s="87">
        <f t="shared" si="2"/>
        <v>4333741.7798377108</v>
      </c>
      <c r="L7" s="45" t="s">
        <v>12</v>
      </c>
      <c r="N7" s="38">
        <f>(D16-C16)/C16</f>
        <v>-0.36945812807881773</v>
      </c>
      <c r="O7" s="38">
        <f>(E16-D16)/D16</f>
        <v>0.12109375</v>
      </c>
      <c r="P7" s="39">
        <f>AVERAGE(N7:O7)</f>
        <v>-0.12418218903940886</v>
      </c>
      <c r="Q7" s="39">
        <f t="shared" si="0"/>
        <v>-0.12418218903940886</v>
      </c>
      <c r="R7" s="39">
        <f t="shared" si="0"/>
        <v>-4.2423542692939242E-2</v>
      </c>
      <c r="S7" s="39">
        <f t="shared" si="1"/>
        <v>-9.692930692391899E-2</v>
      </c>
      <c r="T7" s="39">
        <f t="shared" si="1"/>
        <v>-8.7845012885422361E-2</v>
      </c>
    </row>
    <row r="8" spans="2:20" ht="14.25" thickBot="1" x14ac:dyDescent="0.2">
      <c r="B8" s="115" t="s">
        <v>4</v>
      </c>
      <c r="C8" s="116"/>
      <c r="D8" s="40"/>
      <c r="E8" s="40"/>
      <c r="F8" s="88"/>
      <c r="G8" s="89"/>
      <c r="H8" s="89"/>
      <c r="I8" s="89"/>
      <c r="J8" s="89"/>
      <c r="L8" s="50" t="s">
        <v>101</v>
      </c>
      <c r="M8" s="51">
        <f>C18/C17</f>
        <v>0.25160599571734477</v>
      </c>
      <c r="N8" s="51">
        <f>D18/D17</f>
        <v>0.24743512371756185</v>
      </c>
      <c r="O8" s="51">
        <f>E18/E17</f>
        <v>0.13619262603461249</v>
      </c>
      <c r="P8" s="41">
        <f>AVERAGE(M8:O8)</f>
        <v>0.21174458182317302</v>
      </c>
      <c r="Q8" s="41">
        <f t="shared" si="0"/>
        <v>0.19845744385844913</v>
      </c>
      <c r="R8" s="41">
        <f t="shared" si="0"/>
        <v>0.18213155057207819</v>
      </c>
      <c r="S8" s="41">
        <f>AVERAGE(P8:R8)</f>
        <v>0.19744452541790011</v>
      </c>
      <c r="T8" s="41">
        <f>AVERAGE(Q8:S8)</f>
        <v>0.19267783994947582</v>
      </c>
    </row>
    <row r="9" spans="2:20" ht="14.25" thickBot="1" x14ac:dyDescent="0.2">
      <c r="B9" s="45" t="s">
        <v>5</v>
      </c>
      <c r="C9" s="52">
        <v>0</v>
      </c>
      <c r="D9" s="52">
        <v>0</v>
      </c>
      <c r="E9" s="52">
        <v>0</v>
      </c>
      <c r="F9" s="84">
        <v>0</v>
      </c>
      <c r="G9" s="90">
        <v>0</v>
      </c>
      <c r="H9" s="90">
        <v>0</v>
      </c>
      <c r="I9" s="90">
        <v>0</v>
      </c>
      <c r="J9" s="90">
        <v>0</v>
      </c>
    </row>
    <row r="10" spans="2:20" ht="14.25" thickBot="1" x14ac:dyDescent="0.2">
      <c r="B10" s="45" t="s">
        <v>6</v>
      </c>
      <c r="C10" s="47">
        <v>3351000</v>
      </c>
      <c r="D10" s="47">
        <v>3312000</v>
      </c>
      <c r="E10" s="47">
        <v>3020000</v>
      </c>
      <c r="F10" s="84">
        <f>F5*P6</f>
        <v>3325005.4839656092</v>
      </c>
      <c r="G10" s="90">
        <f>G5*Q6</f>
        <v>3400402.7547308677</v>
      </c>
      <c r="H10" s="90">
        <f>H5*R6</f>
        <v>3415335.2330968897</v>
      </c>
      <c r="I10" s="90">
        <f>I5*S6</f>
        <v>3571389.755570699</v>
      </c>
      <c r="J10" s="90">
        <f>J5*T6</f>
        <v>3657471.9116135379</v>
      </c>
    </row>
    <row r="11" spans="2:20" ht="14.25" thickBot="1" x14ac:dyDescent="0.2">
      <c r="B11" s="45" t="s">
        <v>7</v>
      </c>
      <c r="C11" s="47">
        <v>0</v>
      </c>
      <c r="D11" s="47">
        <v>0</v>
      </c>
      <c r="E11" s="47">
        <v>0</v>
      </c>
      <c r="F11" s="91">
        <v>0</v>
      </c>
      <c r="G11" s="90">
        <v>0</v>
      </c>
      <c r="H11" s="90">
        <v>0</v>
      </c>
      <c r="I11" s="90">
        <v>0</v>
      </c>
      <c r="J11" s="90">
        <v>0</v>
      </c>
    </row>
    <row r="12" spans="2:20" ht="14.25" thickBot="1" x14ac:dyDescent="0.2">
      <c r="B12" s="45" t="s">
        <v>8</v>
      </c>
      <c r="C12" s="47">
        <v>0</v>
      </c>
      <c r="D12" s="47">
        <v>0</v>
      </c>
      <c r="E12" s="47">
        <v>0</v>
      </c>
      <c r="F12" s="91">
        <v>0</v>
      </c>
      <c r="G12" s="92">
        <v>0</v>
      </c>
      <c r="H12" s="92">
        <v>0</v>
      </c>
      <c r="I12" s="92">
        <v>0</v>
      </c>
      <c r="J12" s="92">
        <v>0</v>
      </c>
    </row>
    <row r="13" spans="2:20" ht="14.25" thickBot="1" x14ac:dyDescent="0.2">
      <c r="B13" s="45" t="s">
        <v>9</v>
      </c>
      <c r="C13" s="53">
        <f t="shared" ref="C13:J13" si="3">C7-C10</f>
        <v>1483000</v>
      </c>
      <c r="D13" s="53">
        <f t="shared" si="3"/>
        <v>1387000</v>
      </c>
      <c r="E13" s="53">
        <f t="shared" si="3"/>
        <v>1706000</v>
      </c>
      <c r="F13" s="93">
        <f t="shared" si="3"/>
        <v>1334970.3673464451</v>
      </c>
      <c r="G13" s="94">
        <f t="shared" si="3"/>
        <v>1184724.1764121144</v>
      </c>
      <c r="H13" s="94">
        <f t="shared" si="3"/>
        <v>1107409.5627149665</v>
      </c>
      <c r="I13" s="94">
        <f t="shared" si="3"/>
        <v>861898.8001678898</v>
      </c>
      <c r="J13" s="94">
        <f t="shared" si="3"/>
        <v>676269.86822417285</v>
      </c>
    </row>
    <row r="14" spans="2:20" ht="14.25" thickBot="1" x14ac:dyDescent="0.2">
      <c r="B14" s="45" t="s">
        <v>10</v>
      </c>
      <c r="C14" s="47">
        <v>-143000</v>
      </c>
      <c r="D14" s="47">
        <v>526000</v>
      </c>
      <c r="E14" s="47">
        <v>-90000</v>
      </c>
      <c r="F14" s="84">
        <v>97667</v>
      </c>
      <c r="G14" s="90">
        <v>97667</v>
      </c>
      <c r="H14" s="90">
        <v>97667</v>
      </c>
      <c r="I14" s="90">
        <v>97667</v>
      </c>
      <c r="J14" s="90">
        <v>97667</v>
      </c>
    </row>
    <row r="15" spans="2:20" ht="14.25" thickBot="1" x14ac:dyDescent="0.2">
      <c r="B15" s="45" t="s">
        <v>11</v>
      </c>
      <c r="C15" s="47">
        <f t="shared" ref="C15:J15" si="4">SUM(C13:C14)</f>
        <v>1340000</v>
      </c>
      <c r="D15" s="47">
        <f t="shared" si="4"/>
        <v>1913000</v>
      </c>
      <c r="E15" s="47">
        <f t="shared" si="4"/>
        <v>1616000</v>
      </c>
      <c r="F15" s="91">
        <f t="shared" si="4"/>
        <v>1432637.3673464451</v>
      </c>
      <c r="G15" s="90">
        <f t="shared" si="4"/>
        <v>1282391.1764121144</v>
      </c>
      <c r="H15" s="90">
        <f t="shared" si="4"/>
        <v>1205076.5627149665</v>
      </c>
      <c r="I15" s="90">
        <f t="shared" si="4"/>
        <v>959565.8001678898</v>
      </c>
      <c r="J15" s="90">
        <f t="shared" si="4"/>
        <v>773936.86822417285</v>
      </c>
    </row>
    <row r="16" spans="2:20" ht="14.25" thickBot="1" x14ac:dyDescent="0.2">
      <c r="B16" s="45" t="s">
        <v>12</v>
      </c>
      <c r="C16" s="47">
        <v>406000</v>
      </c>
      <c r="D16" s="47">
        <v>256000</v>
      </c>
      <c r="E16" s="47">
        <v>287000</v>
      </c>
      <c r="F16" s="84">
        <f>E16*(1+P7)</f>
        <v>251359.71174568968</v>
      </c>
      <c r="G16" s="90">
        <f>F16*(1+Q7)</f>
        <v>220145.31250479515</v>
      </c>
      <c r="H16" s="90">
        <f>G16*(1+R7)</f>
        <v>210805.96844109753</v>
      </c>
      <c r="I16" s="90">
        <f>H16*(1+S7)</f>
        <v>190372.69202467642</v>
      </c>
      <c r="J16" s="90">
        <f>I16*(1+T7)</f>
        <v>173649.40044073618</v>
      </c>
    </row>
    <row r="17" spans="2:10" ht="14.25" thickBot="1" x14ac:dyDescent="0.2">
      <c r="B17" s="45" t="s">
        <v>13</v>
      </c>
      <c r="C17" s="47">
        <f t="shared" ref="C17:J17" si="5">C15-C16</f>
        <v>934000</v>
      </c>
      <c r="D17" s="47">
        <f t="shared" si="5"/>
        <v>1657000</v>
      </c>
      <c r="E17" s="47">
        <f t="shared" si="5"/>
        <v>1329000</v>
      </c>
      <c r="F17" s="91">
        <f t="shared" si="5"/>
        <v>1181277.6556007555</v>
      </c>
      <c r="G17" s="92">
        <f t="shared" si="5"/>
        <v>1062245.8639073193</v>
      </c>
      <c r="H17" s="92">
        <f t="shared" si="5"/>
        <v>994270.59427386895</v>
      </c>
      <c r="I17" s="92">
        <f t="shared" si="5"/>
        <v>769193.10814321344</v>
      </c>
      <c r="J17" s="92">
        <f t="shared" si="5"/>
        <v>600287.46778343664</v>
      </c>
    </row>
    <row r="18" spans="2:10" ht="14.25" thickBot="1" x14ac:dyDescent="0.2">
      <c r="B18" s="45" t="s">
        <v>14</v>
      </c>
      <c r="C18" s="47">
        <v>235000</v>
      </c>
      <c r="D18" s="47">
        <v>410000</v>
      </c>
      <c r="E18" s="47">
        <v>181000</v>
      </c>
      <c r="F18" s="95">
        <f>F17*P8</f>
        <v>250129.14320224017</v>
      </c>
      <c r="G18" s="96">
        <f>G17*Q8</f>
        <v>210810.59890025659</v>
      </c>
      <c r="H18" s="96">
        <f>H17*R8</f>
        <v>181088.04502332141</v>
      </c>
      <c r="I18" s="96">
        <f>I17*S8</f>
        <v>151872.96819205629</v>
      </c>
      <c r="J18" s="96">
        <f>J17*T8</f>
        <v>115662.09264125313</v>
      </c>
    </row>
    <row r="19" spans="2:10" ht="14.25" thickBot="1" x14ac:dyDescent="0.2">
      <c r="B19" s="45" t="s">
        <v>15</v>
      </c>
      <c r="C19" s="47">
        <v>-1000</v>
      </c>
      <c r="D19" s="47">
        <v>0</v>
      </c>
      <c r="E19" s="47">
        <v>-8000</v>
      </c>
      <c r="F19" s="91">
        <v>-8000</v>
      </c>
      <c r="G19" s="92">
        <v>-8000</v>
      </c>
      <c r="H19" s="92">
        <v>-8000</v>
      </c>
      <c r="I19" s="92">
        <v>-8000</v>
      </c>
      <c r="J19" s="92">
        <v>-8000</v>
      </c>
    </row>
    <row r="20" spans="2:10" ht="26.25" x14ac:dyDescent="0.15">
      <c r="B20" s="50" t="s">
        <v>16</v>
      </c>
      <c r="C20" s="47">
        <v>1000</v>
      </c>
      <c r="D20" s="47">
        <v>7000</v>
      </c>
      <c r="E20" s="47">
        <v>196000</v>
      </c>
      <c r="F20" s="91">
        <v>196000</v>
      </c>
      <c r="G20" s="92">
        <v>196000</v>
      </c>
      <c r="H20" s="92">
        <v>196000</v>
      </c>
      <c r="I20" s="92">
        <v>196000</v>
      </c>
      <c r="J20" s="92">
        <v>196000</v>
      </c>
    </row>
    <row r="21" spans="2:10" ht="14.25" thickBot="1" x14ac:dyDescent="0.2">
      <c r="B21" s="50"/>
      <c r="C21" s="46"/>
      <c r="D21" s="46"/>
      <c r="E21" s="46"/>
      <c r="F21" s="84"/>
      <c r="G21" s="85"/>
      <c r="H21" s="85"/>
      <c r="I21" s="85"/>
      <c r="J21" s="85"/>
    </row>
    <row r="22" spans="2:10" ht="14.25" thickBot="1" x14ac:dyDescent="0.2">
      <c r="B22" s="45" t="s">
        <v>17</v>
      </c>
      <c r="C22" s="47">
        <f t="shared" ref="C22:J22" si="6">C17-C18+C19+C20</f>
        <v>699000</v>
      </c>
      <c r="D22" s="47">
        <f t="shared" si="6"/>
        <v>1254000</v>
      </c>
      <c r="E22" s="47">
        <f t="shared" si="6"/>
        <v>1336000</v>
      </c>
      <c r="F22" s="91">
        <f t="shared" si="6"/>
        <v>1119148.5123985154</v>
      </c>
      <c r="G22" s="92">
        <f t="shared" si="6"/>
        <v>1039435.2650070627</v>
      </c>
      <c r="H22" s="92">
        <f t="shared" si="6"/>
        <v>1001182.5492505475</v>
      </c>
      <c r="I22" s="92">
        <f t="shared" si="6"/>
        <v>805320.13995115715</v>
      </c>
      <c r="J22" s="92">
        <f t="shared" si="6"/>
        <v>672625.3751421835</v>
      </c>
    </row>
    <row r="23" spans="2:10" ht="14.25" thickBot="1" x14ac:dyDescent="0.2">
      <c r="B23" s="45" t="s">
        <v>18</v>
      </c>
      <c r="C23" s="53">
        <f t="shared" ref="C23:E24" si="7">C22</f>
        <v>699000</v>
      </c>
      <c r="D23" s="53">
        <f t="shared" si="7"/>
        <v>1254000</v>
      </c>
      <c r="E23" s="53">
        <f t="shared" si="7"/>
        <v>1336000</v>
      </c>
      <c r="F23" s="93">
        <f t="shared" ref="F23:J24" si="8">F22</f>
        <v>1119148.5123985154</v>
      </c>
      <c r="G23" s="94">
        <f t="shared" si="8"/>
        <v>1039435.2650070627</v>
      </c>
      <c r="H23" s="94">
        <f t="shared" si="8"/>
        <v>1001182.5492505475</v>
      </c>
      <c r="I23" s="94">
        <f t="shared" si="8"/>
        <v>805320.13995115715</v>
      </c>
      <c r="J23" s="94">
        <f t="shared" si="8"/>
        <v>672625.3751421835</v>
      </c>
    </row>
    <row r="24" spans="2:10" ht="26.25" x14ac:dyDescent="0.15">
      <c r="B24" s="45" t="s">
        <v>19</v>
      </c>
      <c r="C24" s="53">
        <f t="shared" si="7"/>
        <v>699000</v>
      </c>
      <c r="D24" s="53">
        <f t="shared" si="7"/>
        <v>1254000</v>
      </c>
      <c r="E24" s="53">
        <f t="shared" si="7"/>
        <v>1336000</v>
      </c>
      <c r="F24" s="93">
        <f t="shared" si="8"/>
        <v>1119148.5123985154</v>
      </c>
      <c r="G24" s="94">
        <f t="shared" si="8"/>
        <v>1039435.2650070627</v>
      </c>
      <c r="H24" s="94">
        <f t="shared" si="8"/>
        <v>1001182.5492505475</v>
      </c>
      <c r="I24" s="94">
        <f t="shared" si="8"/>
        <v>805320.13995115715</v>
      </c>
      <c r="J24" s="94">
        <f t="shared" si="8"/>
        <v>672625.3751421835</v>
      </c>
    </row>
  </sheetData>
  <mergeCells count="3">
    <mergeCell ref="P2:T2"/>
    <mergeCell ref="C4:E4"/>
    <mergeCell ref="B8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38"/>
  <sheetViews>
    <sheetView workbookViewId="0" xr3:uid="{958C4451-9541-5A59-BF78-D2F731DF1C81}">
      <selection activeCell="D9" sqref="D9"/>
    </sheetView>
  </sheetViews>
  <sheetFormatPr defaultColWidth="9.14453125" defaultRowHeight="15" x14ac:dyDescent="0.2"/>
  <cols>
    <col min="1" max="1" width="9.14453125" style="1"/>
    <col min="2" max="2" width="56.36328125" style="1" bestFit="1" customWidth="1"/>
    <col min="3" max="5" width="11.56640625" style="1" bestFit="1" customWidth="1"/>
    <col min="6" max="16384" width="9.14453125" style="1"/>
  </cols>
  <sheetData>
    <row r="2" spans="2:5" x14ac:dyDescent="0.2">
      <c r="B2" s="103" t="s">
        <v>140</v>
      </c>
    </row>
    <row r="3" spans="2:5" ht="15.75" thickBot="1" x14ac:dyDescent="0.25">
      <c r="B3" s="99"/>
    </row>
    <row r="4" spans="2:5" x14ac:dyDescent="0.2">
      <c r="B4" s="100" t="s">
        <v>0</v>
      </c>
      <c r="C4" s="101">
        <v>2016</v>
      </c>
      <c r="D4" s="101">
        <v>2017</v>
      </c>
      <c r="E4" s="101">
        <v>2018</v>
      </c>
    </row>
    <row r="5" spans="2:5" ht="15.75" thickBot="1" x14ac:dyDescent="0.25">
      <c r="B5" s="16" t="s">
        <v>20</v>
      </c>
      <c r="C5" s="119" t="s">
        <v>99</v>
      </c>
      <c r="D5" s="120"/>
      <c r="E5" s="120"/>
    </row>
    <row r="6" spans="2:5" ht="15.75" thickBot="1" x14ac:dyDescent="0.25">
      <c r="B6" s="2" t="s">
        <v>21</v>
      </c>
      <c r="C6" s="11">
        <v>280000</v>
      </c>
      <c r="D6" s="11">
        <v>281000</v>
      </c>
      <c r="E6" s="11">
        <v>321000</v>
      </c>
    </row>
    <row r="7" spans="2:5" ht="15.75" thickBot="1" x14ac:dyDescent="0.25">
      <c r="B7" s="2" t="s">
        <v>22</v>
      </c>
      <c r="C7" s="3">
        <v>0</v>
      </c>
      <c r="D7" s="3">
        <v>0</v>
      </c>
      <c r="E7" s="3">
        <v>0</v>
      </c>
    </row>
    <row r="8" spans="2:5" ht="15.75" thickBot="1" x14ac:dyDescent="0.25">
      <c r="B8" s="2" t="s">
        <v>23</v>
      </c>
      <c r="C8" s="9">
        <v>1231000</v>
      </c>
      <c r="D8" s="9">
        <v>1389000</v>
      </c>
      <c r="E8" s="9">
        <v>1375000</v>
      </c>
    </row>
    <row r="9" spans="2:5" ht="15.75" thickBot="1" x14ac:dyDescent="0.25">
      <c r="B9" s="2" t="s">
        <v>24</v>
      </c>
      <c r="C9" s="9">
        <v>1238000</v>
      </c>
      <c r="D9" s="9">
        <v>1217000</v>
      </c>
      <c r="E9" s="9">
        <v>1330000</v>
      </c>
    </row>
    <row r="10" spans="2:5" ht="15.75" thickBot="1" x14ac:dyDescent="0.25">
      <c r="B10" s="2" t="s">
        <v>25</v>
      </c>
      <c r="C10" s="9">
        <v>191000</v>
      </c>
      <c r="D10" s="9">
        <v>149000</v>
      </c>
      <c r="E10" s="9">
        <v>131000</v>
      </c>
    </row>
    <row r="11" spans="2:5" ht="15.75" thickBot="1" x14ac:dyDescent="0.25">
      <c r="B11" s="12" t="s">
        <v>26</v>
      </c>
      <c r="C11" s="13">
        <f>SUM(C6:C10)</f>
        <v>2940000</v>
      </c>
      <c r="D11" s="13">
        <f>SUM(D6:D10)</f>
        <v>3036000</v>
      </c>
      <c r="E11" s="13">
        <f>SUM(E6:E10)</f>
        <v>3157000</v>
      </c>
    </row>
    <row r="12" spans="2:5" ht="15.75" thickBot="1" x14ac:dyDescent="0.25">
      <c r="B12" s="16" t="s">
        <v>27</v>
      </c>
      <c r="C12" s="15"/>
      <c r="D12" s="14"/>
      <c r="E12" s="14"/>
    </row>
    <row r="13" spans="2:5" ht="15.75" thickBot="1" x14ac:dyDescent="0.25">
      <c r="B13" s="2" t="s">
        <v>28</v>
      </c>
      <c r="C13" s="11">
        <v>438000</v>
      </c>
      <c r="D13" s="11">
        <v>429000</v>
      </c>
      <c r="E13" s="11">
        <v>413000</v>
      </c>
    </row>
    <row r="14" spans="2:5" ht="15.75" thickBot="1" x14ac:dyDescent="0.25">
      <c r="B14" s="2" t="s">
        <v>29</v>
      </c>
      <c r="C14" s="9">
        <v>3569000</v>
      </c>
      <c r="D14" s="9">
        <v>3716000</v>
      </c>
      <c r="E14" s="9">
        <v>3731000</v>
      </c>
    </row>
    <row r="15" spans="2:5" ht="15.75" thickBot="1" x14ac:dyDescent="0.25">
      <c r="B15" s="2" t="s">
        <v>30</v>
      </c>
      <c r="C15" s="9">
        <v>5166000</v>
      </c>
      <c r="D15" s="9">
        <v>5504000</v>
      </c>
      <c r="E15" s="9">
        <v>6050000</v>
      </c>
    </row>
    <row r="16" spans="2:5" ht="15.75" thickBot="1" x14ac:dyDescent="0.25">
      <c r="B16" s="2" t="s">
        <v>31</v>
      </c>
      <c r="C16" s="9">
        <v>2369000</v>
      </c>
      <c r="D16" s="9">
        <v>2639000</v>
      </c>
      <c r="E16" s="9">
        <v>3361000</v>
      </c>
    </row>
    <row r="17" spans="2:5" ht="15.75" thickBot="1" x14ac:dyDescent="0.25">
      <c r="B17" s="2" t="s">
        <v>32</v>
      </c>
      <c r="C17" s="9">
        <v>629000</v>
      </c>
      <c r="D17" s="9">
        <v>1027000</v>
      </c>
      <c r="E17" s="9">
        <v>1068000</v>
      </c>
    </row>
    <row r="18" spans="2:5" ht="15.75" thickBot="1" x14ac:dyDescent="0.25">
      <c r="B18" s="2" t="s">
        <v>33</v>
      </c>
      <c r="C18" s="3">
        <v>0</v>
      </c>
      <c r="D18" s="3">
        <v>0</v>
      </c>
      <c r="E18" s="3">
        <v>0</v>
      </c>
    </row>
    <row r="19" spans="2:5" ht="15.75" thickBot="1" x14ac:dyDescent="0.25">
      <c r="B19" s="12" t="s">
        <v>34</v>
      </c>
      <c r="C19" s="13">
        <f>SUM(C13:C18)+C11</f>
        <v>15111000</v>
      </c>
      <c r="D19" s="13">
        <f>SUM(D13:D18)+D11</f>
        <v>16351000</v>
      </c>
      <c r="E19" s="13">
        <f>SUM(E13:E18)+E11</f>
        <v>17780000</v>
      </c>
    </row>
    <row r="20" spans="2:5" ht="15.75" thickBot="1" x14ac:dyDescent="0.25">
      <c r="B20" s="117" t="s">
        <v>35</v>
      </c>
      <c r="C20" s="118"/>
      <c r="D20" s="14"/>
      <c r="E20" s="14"/>
    </row>
    <row r="21" spans="2:5" ht="15.75" thickBot="1" x14ac:dyDescent="0.25">
      <c r="B21" s="2" t="s">
        <v>36</v>
      </c>
      <c r="C21" s="11">
        <v>2014000</v>
      </c>
      <c r="D21" s="11">
        <v>2269000</v>
      </c>
      <c r="E21" s="11">
        <v>2427000</v>
      </c>
    </row>
    <row r="22" spans="2:5" ht="15.75" thickBot="1" x14ac:dyDescent="0.25">
      <c r="B22" s="2" t="s">
        <v>37</v>
      </c>
      <c r="C22" s="9">
        <v>1069000</v>
      </c>
      <c r="D22" s="9">
        <v>779000</v>
      </c>
      <c r="E22" s="9">
        <v>686000</v>
      </c>
    </row>
    <row r="23" spans="2:5" ht="15.75" thickBot="1" x14ac:dyDescent="0.25">
      <c r="B23" s="2" t="s">
        <v>38</v>
      </c>
      <c r="C23" s="9">
        <v>1391000</v>
      </c>
      <c r="D23" s="9">
        <v>1474000</v>
      </c>
      <c r="E23" s="9">
        <v>1416000</v>
      </c>
    </row>
    <row r="24" spans="2:5" ht="15.75" thickBot="1" x14ac:dyDescent="0.25">
      <c r="B24" s="2" t="s">
        <v>39</v>
      </c>
      <c r="C24" s="10">
        <f>SUM(C21:C23)</f>
        <v>4474000</v>
      </c>
      <c r="D24" s="10">
        <f>SUM(D21:D23)</f>
        <v>4522000</v>
      </c>
      <c r="E24" s="10">
        <f>SUM(E21:E23)</f>
        <v>4529000</v>
      </c>
    </row>
    <row r="25" spans="2:5" ht="15.75" thickBot="1" x14ac:dyDescent="0.25">
      <c r="B25" s="2" t="s">
        <v>40</v>
      </c>
      <c r="C25" s="9">
        <v>6698000</v>
      </c>
      <c r="D25" s="9">
        <v>7836000</v>
      </c>
      <c r="E25" s="9">
        <v>8207000</v>
      </c>
    </row>
    <row r="26" spans="2:5" ht="15.75" thickBot="1" x14ac:dyDescent="0.25">
      <c r="B26" s="2" t="s">
        <v>41</v>
      </c>
      <c r="C26" s="9">
        <v>1488000</v>
      </c>
      <c r="D26" s="9">
        <v>1444000</v>
      </c>
      <c r="E26" s="9">
        <v>1155000</v>
      </c>
    </row>
    <row r="27" spans="2:5" ht="15.75" thickBot="1" x14ac:dyDescent="0.25">
      <c r="B27" s="2" t="s">
        <v>42</v>
      </c>
      <c r="C27" s="9">
        <v>525000</v>
      </c>
      <c r="D27" s="9">
        <v>355000</v>
      </c>
      <c r="E27" s="9">
        <v>730000</v>
      </c>
    </row>
    <row r="28" spans="2:5" ht="15.75" thickBot="1" x14ac:dyDescent="0.25">
      <c r="B28" s="2" t="s">
        <v>43</v>
      </c>
      <c r="C28" s="3">
        <v>0</v>
      </c>
      <c r="D28" s="3">
        <v>0</v>
      </c>
      <c r="E28" s="3">
        <v>0</v>
      </c>
    </row>
    <row r="29" spans="2:5" ht="15.75" thickBot="1" x14ac:dyDescent="0.25">
      <c r="B29" s="2" t="s">
        <v>15</v>
      </c>
      <c r="C29" s="9">
        <v>16000</v>
      </c>
      <c r="D29" s="9">
        <v>16000</v>
      </c>
      <c r="E29" s="9">
        <v>558000</v>
      </c>
    </row>
    <row r="30" spans="2:5" ht="15.75" thickBot="1" x14ac:dyDescent="0.25">
      <c r="B30" s="12" t="s">
        <v>44</v>
      </c>
      <c r="C30" s="13">
        <f>SUM(C25:C29)+C24</f>
        <v>13201000</v>
      </c>
      <c r="D30" s="13">
        <f>SUM(D25:D29)+D24</f>
        <v>14173000</v>
      </c>
      <c r="E30" s="13">
        <f>SUM(E25:E29)+E24</f>
        <v>15179000</v>
      </c>
    </row>
    <row r="31" spans="2:5" ht="15.75" thickBot="1" x14ac:dyDescent="0.25">
      <c r="B31" s="117" t="s">
        <v>45</v>
      </c>
      <c r="C31" s="118"/>
      <c r="D31" s="14"/>
      <c r="E31" s="14"/>
    </row>
    <row r="32" spans="2:5" ht="15.75" thickBot="1" x14ac:dyDescent="0.25">
      <c r="B32" s="2" t="s">
        <v>46</v>
      </c>
      <c r="C32" s="11">
        <v>105000</v>
      </c>
      <c r="D32" s="11">
        <v>105000</v>
      </c>
      <c r="E32" s="11">
        <v>105000</v>
      </c>
    </row>
    <row r="33" spans="2:5" ht="15.75" thickBot="1" x14ac:dyDescent="0.25">
      <c r="B33" s="2" t="s">
        <v>47</v>
      </c>
      <c r="C33" s="9">
        <v>806000</v>
      </c>
      <c r="D33" s="9">
        <v>878000</v>
      </c>
      <c r="E33" s="9">
        <v>895000</v>
      </c>
    </row>
    <row r="34" spans="2:5" ht="15.75" thickBot="1" x14ac:dyDescent="0.25">
      <c r="B34" s="2" t="s">
        <v>48</v>
      </c>
      <c r="C34" s="9">
        <v>6571000</v>
      </c>
      <c r="D34" s="9">
        <v>7069000</v>
      </c>
      <c r="E34" s="9">
        <v>7652000</v>
      </c>
    </row>
    <row r="35" spans="2:5" ht="15.75" thickBot="1" x14ac:dyDescent="0.25">
      <c r="B35" s="2" t="s">
        <v>49</v>
      </c>
      <c r="C35" s="9">
        <v>-3997000</v>
      </c>
      <c r="D35" s="9">
        <v>-4417000</v>
      </c>
      <c r="E35" s="9">
        <v>-4551000</v>
      </c>
    </row>
    <row r="36" spans="2:5" ht="15.75" thickBot="1" x14ac:dyDescent="0.25">
      <c r="B36" s="2" t="s">
        <v>50</v>
      </c>
      <c r="C36" s="9">
        <v>-1575000</v>
      </c>
      <c r="D36" s="9">
        <v>-1457000</v>
      </c>
      <c r="E36" s="9">
        <v>-1500000</v>
      </c>
    </row>
    <row r="37" spans="2:5" ht="15.75" thickBot="1" x14ac:dyDescent="0.25">
      <c r="B37" s="2" t="s">
        <v>51</v>
      </c>
      <c r="C37" s="10">
        <f>SUM(C32:C36)</f>
        <v>1910000</v>
      </c>
      <c r="D37" s="10">
        <f>SUM(D32:D36)</f>
        <v>2178000</v>
      </c>
      <c r="E37" s="10">
        <f>SUM(E32:E36)</f>
        <v>2601000</v>
      </c>
    </row>
    <row r="38" spans="2:5" x14ac:dyDescent="0.2">
      <c r="B38" s="2" t="s">
        <v>52</v>
      </c>
      <c r="C38" s="10">
        <f>C30+C37</f>
        <v>15111000</v>
      </c>
      <c r="D38" s="10">
        <f>D30+D37</f>
        <v>16351000</v>
      </c>
      <c r="E38" s="10">
        <f>E30+E37</f>
        <v>17780000</v>
      </c>
    </row>
  </sheetData>
  <mergeCells count="3">
    <mergeCell ref="B31:C31"/>
    <mergeCell ref="B20:C20"/>
    <mergeCell ref="C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27"/>
  <sheetViews>
    <sheetView workbookViewId="0" xr3:uid="{842E5F09-E766-5B8D-85AF-A39847EA96FD}">
      <selection activeCell="I11" sqref="I11"/>
    </sheetView>
  </sheetViews>
  <sheetFormatPr defaultColWidth="9.14453125" defaultRowHeight="15" x14ac:dyDescent="0.2"/>
  <cols>
    <col min="1" max="1" width="9.14453125" style="1"/>
    <col min="2" max="2" width="33.8984375" style="1" bestFit="1" customWidth="1"/>
    <col min="3" max="3" width="11.296875" style="1" bestFit="1" customWidth="1"/>
    <col min="4" max="4" width="12.64453125" style="1" bestFit="1" customWidth="1"/>
    <col min="5" max="5" width="11.296875" style="1" bestFit="1" customWidth="1"/>
    <col min="6" max="16384" width="9.14453125" style="1"/>
  </cols>
  <sheetData>
    <row r="2" spans="2:5" x14ac:dyDescent="0.2">
      <c r="B2" s="102" t="s">
        <v>141</v>
      </c>
    </row>
    <row r="3" spans="2:5" ht="15.75" thickBot="1" x14ac:dyDescent="0.25">
      <c r="B3" s="102"/>
    </row>
    <row r="4" spans="2:5" x14ac:dyDescent="0.2">
      <c r="B4" s="4" t="s">
        <v>0</v>
      </c>
      <c r="C4" s="5">
        <v>2016</v>
      </c>
      <c r="D4" s="5">
        <v>2017</v>
      </c>
      <c r="E4" s="5">
        <v>2018</v>
      </c>
    </row>
    <row r="5" spans="2:5" x14ac:dyDescent="0.2">
      <c r="B5" s="6"/>
      <c r="C5" s="121" t="s">
        <v>99</v>
      </c>
      <c r="D5" s="122"/>
      <c r="E5" s="122"/>
    </row>
    <row r="6" spans="2:5" ht="15.75" thickBot="1" x14ac:dyDescent="0.25">
      <c r="B6" s="6" t="s">
        <v>18</v>
      </c>
      <c r="C6" s="17">
        <v>700000</v>
      </c>
      <c r="D6" s="17">
        <v>1254000</v>
      </c>
      <c r="E6" s="17">
        <v>1344000</v>
      </c>
    </row>
    <row r="7" spans="2:5" ht="15.75" customHeight="1" thickBot="1" x14ac:dyDescent="0.25">
      <c r="B7" s="21" t="s">
        <v>53</v>
      </c>
      <c r="C7" s="22"/>
      <c r="D7" s="22"/>
      <c r="E7" s="22"/>
    </row>
    <row r="8" spans="2:5" ht="15.75" thickBot="1" x14ac:dyDescent="0.25">
      <c r="B8" s="7" t="s">
        <v>54</v>
      </c>
      <c r="C8" s="18">
        <v>517000</v>
      </c>
      <c r="D8" s="18">
        <v>481000</v>
      </c>
      <c r="E8" s="18">
        <v>516000</v>
      </c>
    </row>
    <row r="9" spans="2:5" ht="15.75" thickBot="1" x14ac:dyDescent="0.25">
      <c r="B9" s="6" t="s">
        <v>55</v>
      </c>
      <c r="C9" s="19">
        <v>357000</v>
      </c>
      <c r="D9" s="19">
        <v>-292000</v>
      </c>
      <c r="E9" s="19">
        <v>-275000</v>
      </c>
    </row>
    <row r="10" spans="2:5" ht="15.75" thickBot="1" x14ac:dyDescent="0.25">
      <c r="B10" s="21" t="s">
        <v>56</v>
      </c>
      <c r="C10" s="22"/>
      <c r="D10" s="22"/>
      <c r="E10" s="22"/>
    </row>
    <row r="11" spans="2:5" ht="15.75" thickBot="1" x14ac:dyDescent="0.25">
      <c r="B11" s="7" t="s">
        <v>57</v>
      </c>
      <c r="C11" s="18">
        <v>-480000</v>
      </c>
      <c r="D11" s="18">
        <v>-1300000</v>
      </c>
      <c r="E11" s="18">
        <v>76000</v>
      </c>
    </row>
    <row r="12" spans="2:5" ht="15.75" thickBot="1" x14ac:dyDescent="0.25">
      <c r="B12" s="6" t="s">
        <v>58</v>
      </c>
      <c r="C12" s="19">
        <v>7000</v>
      </c>
      <c r="D12" s="19">
        <v>80000</v>
      </c>
      <c r="E12" s="19">
        <v>-86000</v>
      </c>
    </row>
    <row r="13" spans="2:5" ht="15.75" thickBot="1" x14ac:dyDescent="0.25">
      <c r="B13" s="6" t="s">
        <v>59</v>
      </c>
      <c r="C13" s="19">
        <v>46000</v>
      </c>
      <c r="D13" s="19">
        <v>-13000</v>
      </c>
      <c r="E13" s="19">
        <v>-154000</v>
      </c>
    </row>
    <row r="14" spans="2:5" ht="15.75" thickBot="1" x14ac:dyDescent="0.25">
      <c r="B14" s="6" t="s">
        <v>60</v>
      </c>
      <c r="C14" s="19">
        <v>124000</v>
      </c>
      <c r="D14" s="19">
        <v>193000</v>
      </c>
      <c r="E14" s="19">
        <v>115000</v>
      </c>
    </row>
    <row r="15" spans="2:5" ht="15.75" thickBot="1" x14ac:dyDescent="0.25">
      <c r="B15" s="6" t="s">
        <v>61</v>
      </c>
      <c r="C15" s="20">
        <f>SUM(C11:C14)+SUM(C8:C9)+C6</f>
        <v>1271000</v>
      </c>
      <c r="D15" s="20">
        <f>SUM(D11:D14)+SUM(D8:D9)+D6</f>
        <v>403000</v>
      </c>
      <c r="E15" s="20">
        <f>SUM(E11:E14)+SUM(E8:E9)+E6</f>
        <v>1536000</v>
      </c>
    </row>
    <row r="16" spans="2:5" ht="15.75" thickBot="1" x14ac:dyDescent="0.25">
      <c r="B16" s="21" t="s">
        <v>62</v>
      </c>
      <c r="C16" s="22"/>
      <c r="D16" s="22"/>
      <c r="E16" s="22"/>
    </row>
    <row r="17" spans="2:5" ht="15.75" thickBot="1" x14ac:dyDescent="0.25">
      <c r="B17" s="7" t="s">
        <v>63</v>
      </c>
      <c r="C17" s="18">
        <v>-507000</v>
      </c>
      <c r="D17" s="18">
        <v>-501000</v>
      </c>
      <c r="E17" s="18">
        <v>-578000</v>
      </c>
    </row>
    <row r="18" spans="2:5" ht="15.75" thickBot="1" x14ac:dyDescent="0.25">
      <c r="B18" s="6" t="s">
        <v>64</v>
      </c>
      <c r="C18" s="19">
        <v>526000</v>
      </c>
      <c r="D18" s="19">
        <v>1236000</v>
      </c>
      <c r="E18" s="19">
        <v>-397000</v>
      </c>
    </row>
    <row r="19" spans="2:5" ht="15.75" thickBot="1" x14ac:dyDescent="0.25">
      <c r="B19" s="6" t="s">
        <v>65</v>
      </c>
      <c r="C19" s="19">
        <v>-411000</v>
      </c>
      <c r="D19" s="19">
        <v>-586000</v>
      </c>
      <c r="E19" s="19">
        <v>27000</v>
      </c>
    </row>
    <row r="20" spans="2:5" ht="15" customHeight="1" thickBot="1" x14ac:dyDescent="0.25">
      <c r="B20" s="6" t="s">
        <v>66</v>
      </c>
      <c r="C20" s="20">
        <f>SUM(C17:C19)</f>
        <v>-392000</v>
      </c>
      <c r="D20" s="20">
        <f>SUM(D17:D19)</f>
        <v>149000</v>
      </c>
      <c r="E20" s="20">
        <f>SUM(E17:E19)</f>
        <v>-948000</v>
      </c>
    </row>
    <row r="21" spans="2:5" ht="15.75" thickBot="1" x14ac:dyDescent="0.25">
      <c r="B21" s="21" t="s">
        <v>67</v>
      </c>
      <c r="C21" s="22"/>
      <c r="D21" s="22"/>
      <c r="E21" s="22"/>
    </row>
    <row r="22" spans="2:5" ht="15.75" thickBot="1" x14ac:dyDescent="0.25">
      <c r="B22" s="7" t="s">
        <v>68</v>
      </c>
      <c r="C22" s="18">
        <v>-58000</v>
      </c>
      <c r="D22" s="18">
        <v>-419000</v>
      </c>
      <c r="E22" s="18">
        <v>-153000</v>
      </c>
    </row>
    <row r="23" spans="2:5" ht="15.75" thickBot="1" x14ac:dyDescent="0.25">
      <c r="B23" s="6" t="s">
        <v>69</v>
      </c>
      <c r="C23" s="19">
        <v>1050000</v>
      </c>
      <c r="D23" s="19">
        <v>398000</v>
      </c>
      <c r="E23" s="19">
        <v>624000</v>
      </c>
    </row>
    <row r="24" spans="2:5" ht="15.75" thickBot="1" x14ac:dyDescent="0.25">
      <c r="B24" s="6" t="s">
        <v>70</v>
      </c>
      <c r="C24" s="19">
        <v>-144000</v>
      </c>
      <c r="D24" s="8">
        <v>0</v>
      </c>
      <c r="E24" s="19">
        <v>-11000</v>
      </c>
    </row>
    <row r="25" spans="2:5" ht="15.75" thickBot="1" x14ac:dyDescent="0.25">
      <c r="B25" s="6" t="s">
        <v>71</v>
      </c>
      <c r="C25" s="20">
        <v>-786000</v>
      </c>
      <c r="D25" s="20">
        <v>-604000</v>
      </c>
      <c r="E25" s="20">
        <v>-566000</v>
      </c>
    </row>
    <row r="26" spans="2:5" ht="15.75" thickBot="1" x14ac:dyDescent="0.25">
      <c r="B26" s="6" t="s">
        <v>72</v>
      </c>
      <c r="C26" s="19">
        <v>-64000</v>
      </c>
      <c r="D26" s="19">
        <v>53000</v>
      </c>
      <c r="E26" s="19">
        <v>18000</v>
      </c>
    </row>
    <row r="27" spans="2:5" x14ac:dyDescent="0.2">
      <c r="B27" s="6" t="s">
        <v>73</v>
      </c>
      <c r="C27" s="20">
        <v>29000</v>
      </c>
      <c r="D27" s="20">
        <v>1000</v>
      </c>
      <c r="E27" s="20">
        <v>40000</v>
      </c>
    </row>
  </sheetData>
  <mergeCells count="1">
    <mergeCell ref="C5:E5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I20"/>
  <sheetViews>
    <sheetView workbookViewId="0" xr3:uid="{51F8DEE0-4D01-5F28-A812-FC0BD7CAC4A5}">
      <selection activeCell="H19" sqref="H19"/>
    </sheetView>
  </sheetViews>
  <sheetFormatPr defaultColWidth="12.375" defaultRowHeight="14.25" x14ac:dyDescent="0.15"/>
  <cols>
    <col min="1" max="1" width="12.375" style="23"/>
    <col min="2" max="2" width="17.75390625" style="23" bestFit="1" customWidth="1"/>
    <col min="3" max="3" width="9.01171875" style="23" bestFit="1" customWidth="1"/>
    <col min="4" max="4" width="22.46484375" style="23" bestFit="1" customWidth="1"/>
    <col min="5" max="5" width="21.65625" style="23" bestFit="1" customWidth="1"/>
    <col min="6" max="6" width="19.234375" style="23" bestFit="1" customWidth="1"/>
    <col min="7" max="7" width="9.28125" style="23" bestFit="1" customWidth="1"/>
    <col min="8" max="8" width="11.43359375" style="23" bestFit="1" customWidth="1"/>
    <col min="9" max="9" width="30.40234375" style="23" bestFit="1" customWidth="1"/>
    <col min="10" max="10" width="23.80859375" style="23" customWidth="1"/>
    <col min="11" max="11" width="12.375" style="23"/>
    <col min="12" max="12" width="23.5390625" style="23" customWidth="1"/>
    <col min="13" max="16384" width="12.375" style="23"/>
  </cols>
  <sheetData>
    <row r="2" spans="2:9" ht="15" thickBot="1" x14ac:dyDescent="0.2">
      <c r="B2" s="28"/>
      <c r="C2" s="29"/>
      <c r="D2" s="29"/>
      <c r="E2" s="29"/>
      <c r="F2" s="29"/>
      <c r="G2" s="29"/>
      <c r="H2" s="29"/>
      <c r="I2" s="29"/>
    </row>
    <row r="3" spans="2:9" ht="15" thickBot="1" x14ac:dyDescent="0.2">
      <c r="B3" s="123" t="s">
        <v>126</v>
      </c>
      <c r="C3" s="123"/>
      <c r="F3" s="104" t="s">
        <v>103</v>
      </c>
      <c r="G3" s="105">
        <f>(1-F7)*G11*(F13/F15)+G12*(F14/F15)</f>
        <v>3.8690505587152896E-2</v>
      </c>
    </row>
    <row r="5" spans="2:9" x14ac:dyDescent="0.15">
      <c r="B5" s="23">
        <v>2016</v>
      </c>
      <c r="E5" s="23" t="s">
        <v>104</v>
      </c>
    </row>
    <row r="6" spans="2:9" x14ac:dyDescent="0.15">
      <c r="B6" s="23" t="s">
        <v>105</v>
      </c>
      <c r="C6" s="27">
        <f>IS!M8</f>
        <v>0.25160599571734477</v>
      </c>
      <c r="E6" s="23" t="s">
        <v>106</v>
      </c>
      <c r="F6" s="27">
        <f>AVERAGE(C6:C12)</f>
        <v>0.21174458182317302</v>
      </c>
    </row>
    <row r="7" spans="2:9" x14ac:dyDescent="0.15">
      <c r="F7" s="98">
        <v>0.2117</v>
      </c>
    </row>
    <row r="8" spans="2:9" x14ac:dyDescent="0.15">
      <c r="B8" s="23">
        <v>2017</v>
      </c>
    </row>
    <row r="9" spans="2:9" x14ac:dyDescent="0.15">
      <c r="B9" s="23" t="s">
        <v>105</v>
      </c>
      <c r="C9" s="27">
        <f>IS!N8</f>
        <v>0.24743512371756185</v>
      </c>
      <c r="F9" s="27"/>
    </row>
    <row r="11" spans="2:9" x14ac:dyDescent="0.15">
      <c r="B11" s="23">
        <v>2018</v>
      </c>
      <c r="E11" s="23" t="s">
        <v>107</v>
      </c>
      <c r="F11" s="30">
        <f>Kd!C7</f>
        <v>0.04</v>
      </c>
      <c r="G11" s="23">
        <v>0.04</v>
      </c>
    </row>
    <row r="12" spans="2:9" x14ac:dyDescent="0.15">
      <c r="B12" s="23" t="s">
        <v>105</v>
      </c>
      <c r="C12" s="27">
        <f>IS!O8</f>
        <v>0.13619262603461249</v>
      </c>
      <c r="E12" s="23" t="s">
        <v>108</v>
      </c>
      <c r="F12" s="24">
        <f>Ke!B8</f>
        <v>7.9514000000000014</v>
      </c>
      <c r="G12" s="23">
        <f>F12/100</f>
        <v>7.9514000000000015E-2</v>
      </c>
    </row>
    <row r="13" spans="2:9" x14ac:dyDescent="0.15">
      <c r="E13" s="23" t="s">
        <v>109</v>
      </c>
      <c r="F13" s="25">
        <f>E19</f>
        <v>12715333333.333332</v>
      </c>
    </row>
    <row r="14" spans="2:9" x14ac:dyDescent="0.15">
      <c r="E14" s="23" t="s">
        <v>110</v>
      </c>
      <c r="F14" s="25">
        <f>1000*AVERAGE(BS!C37:E37)</f>
        <v>2229666666.6666665</v>
      </c>
    </row>
    <row r="15" spans="2:9" x14ac:dyDescent="0.15">
      <c r="C15" s="27"/>
      <c r="E15" s="23" t="s">
        <v>111</v>
      </c>
      <c r="F15" s="31">
        <f>F13+F14</f>
        <v>14944999999.999998</v>
      </c>
    </row>
    <row r="17" spans="3:5" x14ac:dyDescent="0.15">
      <c r="C17" s="23" t="s">
        <v>112</v>
      </c>
      <c r="D17" s="23" t="s">
        <v>113</v>
      </c>
      <c r="E17" s="25">
        <f>1000*AVERAGE(BS!C24:E24)</f>
        <v>4508333333.333333</v>
      </c>
    </row>
    <row r="18" spans="3:5" x14ac:dyDescent="0.15">
      <c r="D18" s="23" t="s">
        <v>93</v>
      </c>
      <c r="E18" s="25">
        <v>8207000000</v>
      </c>
    </row>
    <row r="19" spans="3:5" ht="15" thickBot="1" x14ac:dyDescent="0.2">
      <c r="D19" s="32" t="s">
        <v>114</v>
      </c>
      <c r="E19" s="26">
        <f>E18+E17</f>
        <v>12715333333.333332</v>
      </c>
    </row>
    <row r="20" spans="3:5" ht="15" thickTop="1" x14ac:dyDescent="0.15"/>
  </sheetData>
  <mergeCells count="1">
    <mergeCell ref="B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8"/>
  <sheetViews>
    <sheetView workbookViewId="0" xr3:uid="{F9CF3CF3-643B-5BE6-8B46-32C596A47465}">
      <selection activeCell="H10" sqref="H10"/>
    </sheetView>
  </sheetViews>
  <sheetFormatPr defaultColWidth="9.14453125" defaultRowHeight="14.25" x14ac:dyDescent="0.15"/>
  <cols>
    <col min="1" max="2" width="9.14453125" style="106"/>
    <col min="3" max="3" width="6.45703125" style="106" bestFit="1" customWidth="1"/>
    <col min="4" max="16384" width="9.14453125" style="106"/>
  </cols>
  <sheetData>
    <row r="2" spans="1:10" x14ac:dyDescent="0.15">
      <c r="A2" s="106" t="s">
        <v>142</v>
      </c>
      <c r="G2" s="107" t="s">
        <v>76</v>
      </c>
      <c r="H2" s="107">
        <v>16</v>
      </c>
      <c r="I2" s="107">
        <v>17</v>
      </c>
      <c r="J2" s="107">
        <v>18</v>
      </c>
    </row>
    <row r="3" spans="1:10" x14ac:dyDescent="0.15">
      <c r="G3" s="107"/>
      <c r="H3" s="107">
        <v>11.96</v>
      </c>
      <c r="I3" s="107">
        <v>21.83</v>
      </c>
      <c r="J3" s="107">
        <v>-4.38</v>
      </c>
    </row>
    <row r="4" spans="1:10" x14ac:dyDescent="0.15">
      <c r="B4" s="106" t="s">
        <v>74</v>
      </c>
      <c r="C4" s="106">
        <v>2.69</v>
      </c>
      <c r="D4" s="106" t="s">
        <v>77</v>
      </c>
    </row>
    <row r="5" spans="1:10" x14ac:dyDescent="0.15">
      <c r="B5" s="106" t="s">
        <v>75</v>
      </c>
      <c r="C5" s="106">
        <v>0.74</v>
      </c>
    </row>
    <row r="6" spans="1:10" x14ac:dyDescent="0.15">
      <c r="B6" s="106" t="s">
        <v>76</v>
      </c>
      <c r="C6" s="106">
        <f>ROUND(AVERAGE(H3:J3),2)</f>
        <v>9.8000000000000007</v>
      </c>
      <c r="D6" s="106" t="s">
        <v>78</v>
      </c>
    </row>
    <row r="8" spans="1:10" x14ac:dyDescent="0.15">
      <c r="A8" s="106" t="s">
        <v>143</v>
      </c>
      <c r="B8" s="106">
        <f>C4+C5*(C6-C4)</f>
        <v>7.9514000000000014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E7"/>
  <sheetViews>
    <sheetView workbookViewId="0" xr3:uid="{78B4E459-6924-5F8B-B7BA-2DD04133E49E}">
      <selection activeCell="H10" sqref="H10"/>
    </sheetView>
  </sheetViews>
  <sheetFormatPr defaultColWidth="9.14453125" defaultRowHeight="14.25" x14ac:dyDescent="0.15"/>
  <cols>
    <col min="1" max="1" width="9.14453125" style="106"/>
    <col min="2" max="2" width="17.75390625" style="106" bestFit="1" customWidth="1"/>
    <col min="3" max="5" width="11.43359375" style="106" bestFit="1" customWidth="1"/>
    <col min="6" max="16384" width="9.14453125" style="106"/>
  </cols>
  <sheetData>
    <row r="2" spans="2:5" x14ac:dyDescent="0.15">
      <c r="C2" s="111">
        <v>2016</v>
      </c>
      <c r="D2" s="111">
        <v>2017</v>
      </c>
      <c r="E2" s="111">
        <v>2018</v>
      </c>
    </row>
    <row r="3" spans="2:5" x14ac:dyDescent="0.15">
      <c r="C3" s="124" t="s">
        <v>99</v>
      </c>
      <c r="D3" s="125"/>
      <c r="E3" s="125"/>
    </row>
    <row r="4" spans="2:5" x14ac:dyDescent="0.15">
      <c r="B4" s="106" t="s">
        <v>115</v>
      </c>
      <c r="C4" s="108">
        <f>IS!C16</f>
        <v>406000</v>
      </c>
      <c r="D4" s="108">
        <f>IS!D16</f>
        <v>256000</v>
      </c>
      <c r="E4" s="108">
        <f>IS!E16</f>
        <v>287000</v>
      </c>
    </row>
    <row r="5" spans="2:5" x14ac:dyDescent="0.15">
      <c r="B5" s="106" t="s">
        <v>116</v>
      </c>
      <c r="C5" s="109">
        <f>BS!C25</f>
        <v>6698000</v>
      </c>
      <c r="D5" s="109">
        <f>BS!D25</f>
        <v>7836000</v>
      </c>
      <c r="E5" s="109">
        <f>BS!E25</f>
        <v>8207000</v>
      </c>
    </row>
    <row r="6" spans="2:5" x14ac:dyDescent="0.15">
      <c r="B6" s="106" t="s">
        <v>117</v>
      </c>
      <c r="C6" s="110">
        <f>ROUND((C4/C5),2)</f>
        <v>0.06</v>
      </c>
      <c r="D6" s="110">
        <f>ROUND((D4/D5),2)</f>
        <v>0.03</v>
      </c>
      <c r="E6" s="110">
        <f>ROUND((E4/E5),2)</f>
        <v>0.03</v>
      </c>
    </row>
    <row r="7" spans="2:5" x14ac:dyDescent="0.15">
      <c r="B7" s="106" t="s">
        <v>118</v>
      </c>
      <c r="C7" s="110">
        <f>AVERAGE(C6:E6)</f>
        <v>0.04</v>
      </c>
    </row>
  </sheetData>
  <mergeCells count="1">
    <mergeCell ref="C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H33"/>
  <sheetViews>
    <sheetView tabSelected="1" workbookViewId="0" xr3:uid="{9B253EF2-77E0-53E3-AE26-4D66ECD923F3}">
      <selection activeCell="I24" sqref="I24"/>
    </sheetView>
  </sheetViews>
  <sheetFormatPr defaultColWidth="12.375" defaultRowHeight="13.5" x14ac:dyDescent="0.15"/>
  <cols>
    <col min="1" max="1" width="17.890625" style="56" customWidth="1"/>
    <col min="2" max="3" width="16.0078125" style="56" bestFit="1" customWidth="1"/>
    <col min="4" max="4" width="21.65625" style="56" bestFit="1" customWidth="1"/>
    <col min="5" max="5" width="24.078125" style="56" bestFit="1" customWidth="1"/>
    <col min="6" max="6" width="17.21875" style="56" bestFit="1" customWidth="1"/>
    <col min="7" max="7" width="16.41015625" style="56" bestFit="1" customWidth="1"/>
    <col min="8" max="8" width="15.46875" style="56" bestFit="1" customWidth="1"/>
    <col min="9" max="9" width="19.234375" style="56" bestFit="1" customWidth="1"/>
    <col min="10" max="16384" width="12.375" style="56"/>
  </cols>
  <sheetData>
    <row r="2" spans="1:8" x14ac:dyDescent="0.15">
      <c r="A2" s="55" t="s">
        <v>79</v>
      </c>
    </row>
    <row r="4" spans="1:8" x14ac:dyDescent="0.15">
      <c r="A4" s="55" t="s">
        <v>80</v>
      </c>
      <c r="B4" s="57"/>
      <c r="C4" s="57"/>
      <c r="D4" s="58">
        <v>2019</v>
      </c>
      <c r="E4" s="58">
        <v>2020</v>
      </c>
      <c r="F4" s="58">
        <v>2021</v>
      </c>
      <c r="G4" s="58">
        <v>2022</v>
      </c>
      <c r="H4" s="58">
        <v>2023</v>
      </c>
    </row>
    <row r="5" spans="1:8" ht="14.25" thickBot="1" x14ac:dyDescent="0.2">
      <c r="A5" s="59" t="s">
        <v>81</v>
      </c>
      <c r="B5" s="59"/>
      <c r="C5" s="59"/>
      <c r="D5" s="60">
        <f>1000*IS!F15</f>
        <v>1432637367.3464451</v>
      </c>
      <c r="E5" s="60">
        <f>1000*IS!G15</f>
        <v>1282391176.4121144</v>
      </c>
      <c r="F5" s="60">
        <f>1000*IS!H15</f>
        <v>1205076562.7149665</v>
      </c>
      <c r="G5" s="60">
        <f>1000*IS!I15</f>
        <v>959565800.16788983</v>
      </c>
      <c r="H5" s="60">
        <f>1000*IS!J15</f>
        <v>773936868.22417283</v>
      </c>
    </row>
    <row r="6" spans="1:8" x14ac:dyDescent="0.15">
      <c r="A6" s="55" t="s">
        <v>82</v>
      </c>
      <c r="B6" s="57"/>
      <c r="C6" s="57"/>
      <c r="D6" s="57"/>
      <c r="E6" s="57"/>
      <c r="F6" s="57"/>
      <c r="G6" s="57"/>
      <c r="H6" s="57"/>
    </row>
    <row r="7" spans="1:8" x14ac:dyDescent="0.15">
      <c r="A7" s="55" t="s">
        <v>83</v>
      </c>
      <c r="B7" s="69">
        <f>WACC!G3</f>
        <v>3.8690505587152896E-2</v>
      </c>
    </row>
    <row r="8" spans="1:8" x14ac:dyDescent="0.15">
      <c r="A8" s="55" t="s">
        <v>127</v>
      </c>
      <c r="B8" s="57"/>
      <c r="C8" s="57"/>
      <c r="D8" s="62">
        <f>D4</f>
        <v>2019</v>
      </c>
      <c r="E8" s="62">
        <f>E4</f>
        <v>2020</v>
      </c>
      <c r="F8" s="62">
        <f>F4</f>
        <v>2021</v>
      </c>
      <c r="G8" s="62">
        <f>G4</f>
        <v>2022</v>
      </c>
      <c r="H8" s="62">
        <f>H4</f>
        <v>2023</v>
      </c>
    </row>
    <row r="9" spans="1:8" x14ac:dyDescent="0.15">
      <c r="D9" s="63">
        <v>1</v>
      </c>
      <c r="E9" s="63">
        <f>D9+1</f>
        <v>2</v>
      </c>
      <c r="F9" s="63">
        <f>E9+1</f>
        <v>3</v>
      </c>
      <c r="G9" s="63">
        <f>F9+1</f>
        <v>4</v>
      </c>
      <c r="H9" s="63">
        <f>G9+1</f>
        <v>5</v>
      </c>
    </row>
    <row r="10" spans="1:8" x14ac:dyDescent="0.15">
      <c r="A10" s="56" t="s">
        <v>84</v>
      </c>
      <c r="B10" s="64"/>
      <c r="D10" s="65">
        <f>1/((1+$B7)^D9)</f>
        <v>0.96275068908492445</v>
      </c>
      <c r="E10" s="65">
        <f>1/((1+$B7)^E9)</f>
        <v>0.92688888933349689</v>
      </c>
      <c r="F10" s="65">
        <f>1/((1+$B7)^F9)</f>
        <v>0.89236291691098424</v>
      </c>
      <c r="G10" s="65">
        <f>1/((1+$B7)^G9)</f>
        <v>0.85912301316988338</v>
      </c>
      <c r="H10" s="65">
        <f>1/((1+$B7)^H9)</f>
        <v>0.82712127293802185</v>
      </c>
    </row>
    <row r="11" spans="1:8" ht="14.25" thickBot="1" x14ac:dyDescent="0.2">
      <c r="A11" s="66" t="s">
        <v>85</v>
      </c>
      <c r="B11" s="66"/>
      <c r="C11" s="66"/>
      <c r="D11" s="67">
        <f>D5*D10</f>
        <v>1379272612.6216021</v>
      </c>
      <c r="E11" s="67">
        <f>E5*E10</f>
        <v>1188634133.1957011</v>
      </c>
      <c r="F11" s="67">
        <f>F5*F10</f>
        <v>1075365636.6053901</v>
      </c>
      <c r="G11" s="67">
        <f>G5*G10</f>
        <v>824385061.57500768</v>
      </c>
      <c r="H11" s="67">
        <f>H5*H10</f>
        <v>640139647.61924386</v>
      </c>
    </row>
    <row r="12" spans="1:8" x14ac:dyDescent="0.15">
      <c r="A12" s="55" t="s">
        <v>128</v>
      </c>
      <c r="B12" s="57"/>
      <c r="C12" s="57"/>
      <c r="D12" s="57"/>
      <c r="E12" s="57"/>
      <c r="F12" s="57"/>
      <c r="G12" s="57"/>
      <c r="H12" s="57"/>
    </row>
    <row r="13" spans="1:8" ht="14.25" thickBot="1" x14ac:dyDescent="0.2">
      <c r="A13" s="56" t="s">
        <v>83</v>
      </c>
      <c r="F13" s="68">
        <f>B7</f>
        <v>3.8690505587152896E-2</v>
      </c>
    </row>
    <row r="14" spans="1:8" ht="14.25" thickBot="1" x14ac:dyDescent="0.2">
      <c r="A14" s="56" t="s">
        <v>86</v>
      </c>
      <c r="F14" s="61">
        <v>2.0299999999999999E-2</v>
      </c>
      <c r="G14" s="56" t="s">
        <v>87</v>
      </c>
    </row>
    <row r="15" spans="1:8" x14ac:dyDescent="0.15">
      <c r="A15" s="55" t="s">
        <v>88</v>
      </c>
      <c r="F15" s="70">
        <f>(H5*(1+F14))/(F13-F14)</f>
        <v>42937796511.736458</v>
      </c>
    </row>
    <row r="16" spans="1:8" x14ac:dyDescent="0.15">
      <c r="A16" s="55" t="s">
        <v>129</v>
      </c>
      <c r="B16" s="57"/>
      <c r="C16" s="57"/>
      <c r="D16" s="57"/>
      <c r="E16" s="57"/>
      <c r="F16" s="57"/>
      <c r="G16" s="57"/>
      <c r="H16" s="57"/>
    </row>
    <row r="17" spans="1:6" x14ac:dyDescent="0.15">
      <c r="B17" s="57" t="s">
        <v>89</v>
      </c>
      <c r="D17" s="57" t="s">
        <v>90</v>
      </c>
      <c r="F17" s="57" t="s">
        <v>119</v>
      </c>
    </row>
    <row r="18" spans="1:6" x14ac:dyDescent="0.15">
      <c r="A18" s="68"/>
      <c r="B18" s="71">
        <f>SUM(D11:H11)</f>
        <v>5107797091.6169443</v>
      </c>
      <c r="C18" s="72" t="s">
        <v>91</v>
      </c>
      <c r="D18" s="71">
        <f>H10*F15</f>
        <v>35514764907.941216</v>
      </c>
      <c r="E18" s="72" t="s">
        <v>92</v>
      </c>
      <c r="F18" s="73">
        <f>B18+D18</f>
        <v>40622561999.558159</v>
      </c>
    </row>
    <row r="19" spans="1:6" x14ac:dyDescent="0.15">
      <c r="A19" s="68"/>
      <c r="B19" s="71"/>
      <c r="C19" s="72"/>
      <c r="D19" s="71"/>
      <c r="E19" s="56" t="s">
        <v>125</v>
      </c>
      <c r="F19" s="73">
        <f>F18</f>
        <v>40622561999.558159</v>
      </c>
    </row>
    <row r="20" spans="1:6" ht="15.75" customHeight="1" x14ac:dyDescent="0.15">
      <c r="A20" s="68"/>
      <c r="B20" s="71"/>
      <c r="C20" s="72"/>
      <c r="D20" s="126" t="s">
        <v>120</v>
      </c>
      <c r="E20" s="126"/>
      <c r="F20" s="74">
        <f>1000*BS!E6</f>
        <v>321000000</v>
      </c>
    </row>
    <row r="21" spans="1:6" ht="14.25" thickBot="1" x14ac:dyDescent="0.2">
      <c r="A21" s="68"/>
      <c r="B21" s="71"/>
      <c r="C21" s="72"/>
      <c r="D21" s="71"/>
      <c r="E21" s="79" t="s">
        <v>121</v>
      </c>
      <c r="F21" s="75">
        <f>SUM(F19:F20)</f>
        <v>40943561999.558159</v>
      </c>
    </row>
    <row r="22" spans="1:6" ht="14.25" thickTop="1" x14ac:dyDescent="0.15">
      <c r="A22" s="68"/>
      <c r="B22" s="71"/>
      <c r="C22" s="72"/>
      <c r="D22" s="71"/>
      <c r="E22" s="72"/>
      <c r="F22" s="74"/>
    </row>
    <row r="23" spans="1:6" x14ac:dyDescent="0.15">
      <c r="A23" s="68"/>
      <c r="B23" s="71"/>
      <c r="C23" s="72"/>
      <c r="D23" s="71"/>
      <c r="E23" s="72" t="s">
        <v>116</v>
      </c>
      <c r="F23" s="74">
        <f>1000*(SUM(BS!E25:E29)-BS!E35)</f>
        <v>15201000000</v>
      </c>
    </row>
    <row r="24" spans="1:6" x14ac:dyDescent="0.15">
      <c r="A24" s="68"/>
      <c r="B24" s="71"/>
      <c r="C24" s="72"/>
      <c r="D24" s="71"/>
      <c r="E24" s="72" t="s">
        <v>122</v>
      </c>
      <c r="F24" s="74">
        <f>1000*(BS!E24+(-BS!E36))</f>
        <v>6029000000</v>
      </c>
    </row>
    <row r="25" spans="1:6" x14ac:dyDescent="0.15">
      <c r="A25" s="68"/>
      <c r="B25" s="71"/>
      <c r="C25" s="72"/>
      <c r="D25" s="71"/>
      <c r="E25" s="72"/>
      <c r="F25" s="74"/>
    </row>
    <row r="26" spans="1:6" ht="14.25" thickBot="1" x14ac:dyDescent="0.2">
      <c r="A26" s="68"/>
      <c r="B26" s="71"/>
      <c r="C26" s="72"/>
      <c r="D26" s="71"/>
      <c r="E26" s="79" t="s">
        <v>123</v>
      </c>
      <c r="F26" s="75">
        <f>F21-F23-F24</f>
        <v>19713561999.558159</v>
      </c>
    </row>
    <row r="27" spans="1:6" ht="14.25" thickTop="1" x14ac:dyDescent="0.15">
      <c r="C27" s="72"/>
      <c r="D27" s="71"/>
    </row>
    <row r="28" spans="1:6" ht="15" customHeight="1" x14ac:dyDescent="0.15">
      <c r="C28" s="72"/>
      <c r="D28" s="127" t="s">
        <v>139</v>
      </c>
      <c r="E28" s="127"/>
      <c r="F28" s="77">
        <v>348000000</v>
      </c>
    </row>
    <row r="29" spans="1:6" ht="15" customHeight="1" x14ac:dyDescent="0.15">
      <c r="C29" s="72"/>
      <c r="D29" s="127" t="s">
        <v>138</v>
      </c>
      <c r="E29" s="127"/>
      <c r="F29" s="65">
        <f>F26/F28</f>
        <v>56.648166665397007</v>
      </c>
    </row>
    <row r="30" spans="1:6" x14ac:dyDescent="0.15">
      <c r="C30" s="72"/>
      <c r="D30" s="71"/>
      <c r="E30" s="76" t="s">
        <v>94</v>
      </c>
      <c r="F30" s="76">
        <v>57.2</v>
      </c>
    </row>
    <row r="31" spans="1:6" x14ac:dyDescent="0.15">
      <c r="C31" s="72"/>
      <c r="D31" s="71"/>
      <c r="E31" s="56" t="s">
        <v>136</v>
      </c>
      <c r="F31" s="78">
        <f>-(1-F30/F29)</f>
        <v>9.7414156024235865E-3</v>
      </c>
    </row>
    <row r="32" spans="1:6" x14ac:dyDescent="0.15">
      <c r="C32" s="72"/>
      <c r="D32" s="71"/>
    </row>
    <row r="33" spans="3:4" x14ac:dyDescent="0.15">
      <c r="C33" s="72"/>
      <c r="D33" s="71"/>
    </row>
  </sheetData>
  <mergeCells count="3">
    <mergeCell ref="D20:E20"/>
    <mergeCell ref="D28:E28"/>
    <mergeCell ref="D29:E2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B11"/>
  <sheetViews>
    <sheetView workbookViewId="0" xr3:uid="{85D5C41F-068E-5C55-9968-509E7C2A5619}">
      <selection activeCell="B14" sqref="B14"/>
    </sheetView>
  </sheetViews>
  <sheetFormatPr defaultColWidth="9.14453125" defaultRowHeight="13.5" x14ac:dyDescent="0.15"/>
  <cols>
    <col min="1" max="1" width="4.16796875" style="54" bestFit="1" customWidth="1"/>
    <col min="2" max="2" width="75.87109375" style="54" bestFit="1" customWidth="1"/>
    <col min="3" max="16384" width="9.14453125" style="54"/>
  </cols>
  <sheetData>
    <row r="2" spans="1:2" x14ac:dyDescent="0.15">
      <c r="A2" s="54" t="s">
        <v>135</v>
      </c>
    </row>
    <row r="3" spans="1:2" x14ac:dyDescent="0.15">
      <c r="A3" s="54">
        <v>1</v>
      </c>
      <c r="B3" s="54" t="s">
        <v>130</v>
      </c>
    </row>
    <row r="4" spans="1:2" x14ac:dyDescent="0.15">
      <c r="A4" s="54">
        <v>2</v>
      </c>
      <c r="B4" s="54" t="s">
        <v>131</v>
      </c>
    </row>
    <row r="5" spans="1:2" x14ac:dyDescent="0.15">
      <c r="A5" s="54">
        <v>3</v>
      </c>
      <c r="B5" s="54" t="s">
        <v>124</v>
      </c>
    </row>
    <row r="6" spans="1:2" x14ac:dyDescent="0.15">
      <c r="A6" s="54">
        <v>4</v>
      </c>
      <c r="B6" s="54" t="s">
        <v>132</v>
      </c>
    </row>
    <row r="7" spans="1:2" x14ac:dyDescent="0.15">
      <c r="A7" s="54">
        <v>5</v>
      </c>
      <c r="B7" s="54" t="s">
        <v>133</v>
      </c>
    </row>
    <row r="8" spans="1:2" x14ac:dyDescent="0.15">
      <c r="A8" s="54">
        <v>6</v>
      </c>
      <c r="B8" s="54" t="s">
        <v>100</v>
      </c>
    </row>
    <row r="9" spans="1:2" x14ac:dyDescent="0.15">
      <c r="A9" s="54">
        <v>7</v>
      </c>
      <c r="B9" s="54" t="s">
        <v>134</v>
      </c>
    </row>
    <row r="10" spans="1:2" x14ac:dyDescent="0.15">
      <c r="A10" s="54">
        <v>8</v>
      </c>
      <c r="B10" s="54" t="s">
        <v>102</v>
      </c>
    </row>
    <row r="11" spans="1:2" x14ac:dyDescent="0.15">
      <c r="A11" s="54">
        <v>9</v>
      </c>
      <c r="B11" s="54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IS</vt:lpstr>
      <vt:lpstr>BS</vt:lpstr>
      <vt:lpstr>CF</vt:lpstr>
      <vt:lpstr>WACC</vt:lpstr>
      <vt:lpstr>Ke</vt:lpstr>
      <vt:lpstr>Kd</vt:lpstr>
      <vt:lpstr>DCF</vt:lpstr>
      <vt:lpstr>Assumptions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UWEZO KENYA LIMITED</dc:creator>
  <cp:lastModifiedBy>UWEZO KENYA LIMITED</cp:lastModifiedBy>
  <dcterms:created xsi:type="dcterms:W3CDTF">2019-05-18T08:21:36Z</dcterms:created>
  <dcterms:modified xsi:type="dcterms:W3CDTF">2019-05-18T14:12:56Z</dcterms:modified>
</cp:coreProperties>
</file>